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10695" windowHeight="6225" firstSheet="1" activeTab="2"/>
  </bookViews>
  <sheets>
    <sheet name="2.1 Alphabetical order" sheetId="1" r:id="rId1"/>
    <sheet name="2.2. List" sheetId="2" r:id="rId2"/>
    <sheet name="2.3. Schemes" sheetId="3" r:id="rId3"/>
    <sheet name="3.1 Balance sheet." sheetId="4" r:id="rId4"/>
    <sheet name="3.2 Chaneges" sheetId="5" r:id="rId5"/>
    <sheet name="3.3 Cash flow." sheetId="6" r:id="rId6"/>
    <sheet name="3.4 Ratios" sheetId="7" r:id="rId7"/>
    <sheet name="4 Specifications" sheetId="8" r:id="rId8"/>
    <sheet name="3.5 Other investments." sheetId="9" r:id="rId9"/>
    <sheet name="Sheet1" sheetId="10" r:id="rId10"/>
    <sheet name="Séreignardeildir - Yfirlit" sheetId="11" r:id="rId11"/>
    <sheet name="Séreignardeildir - Efnah." sheetId="12" r:id="rId12"/>
    <sheet name="Skýringar" sheetId="13" r:id="rId13"/>
  </sheets>
  <externalReferences>
    <externalReference r:id="rId16"/>
  </externalReferences>
  <definedNames>
    <definedName name="GREIÐSLU_LÍFEYRIS">'3.1 Balance sheet.'!$B$58:$CS$58</definedName>
    <definedName name="Hrein">'3.1 Balance sheet.'!$A$1:$CS$58</definedName>
    <definedName name="_xlnm.Print_Area" localSheetId="0">'2.1 Alphabetical order'!$A$1:$G$60</definedName>
    <definedName name="_xlnm.Print_Area" localSheetId="1">'2.2. List'!$A$1:$I$100</definedName>
    <definedName name="_xlnm.Print_Area" localSheetId="3">'3.1 Balance sheet.'!$A$1:$CY$59</definedName>
    <definedName name="_xlnm.Print_Area" localSheetId="4">'3.2 Chaneges'!$A$1:$DA$68</definedName>
    <definedName name="_xlnm.Print_Area" localSheetId="5">'3.3 Cash flow.'!$A$1:$CZ$42</definedName>
    <definedName name="_xlnm.Print_Area" localSheetId="6">'3.4 Ratios'!$A$1:$CY$50</definedName>
    <definedName name="_xlnm.Print_Area" localSheetId="8">'3.5 Other investments.'!$A$1:$CV$58</definedName>
    <definedName name="_xlnm.Print_Area" localSheetId="7">'4 Specifications'!$A$1:$BP$30</definedName>
    <definedName name="_xlnm.Print_Titles" localSheetId="3">'3.1 Balance sheet.'!$A:$A</definedName>
    <definedName name="_xlnm.Print_Titles" localSheetId="4">'3.2 Chaneges'!$A:$A</definedName>
    <definedName name="_xlnm.Print_Titles" localSheetId="5">'3.3 Cash flow.'!$A:$A</definedName>
    <definedName name="_xlnm.Print_Titles" localSheetId="6">'3.4 Ratios'!$A:$B</definedName>
    <definedName name="_xlnm.Print_Titles" localSheetId="8">'3.5 Other investments.'!$A:$A</definedName>
    <definedName name="_xlnm.Print_Titles" localSheetId="7">'4 Specifications'!$A:$B</definedName>
    <definedName name="_xlnm.Print_Titles" localSheetId="11">'Séreignardeildir - Efnah.'!$A:$A</definedName>
    <definedName name="_xlnm.Print_Titles" localSheetId="10">'Séreignardeildir - Yfirlit'!$A:$A</definedName>
  </definedNames>
  <calcPr fullCalcOnLoad="1"/>
</workbook>
</file>

<file path=xl/comments11.xml><?xml version="1.0" encoding="utf-8"?>
<comments xmlns="http://schemas.openxmlformats.org/spreadsheetml/2006/main">
  <authors>
    <author>Sigr??ur ?marsd?ttir</author>
  </authors>
  <commentList>
    <comment ref="C55" authorId="0">
      <text>
        <r>
          <rPr>
            <b/>
            <sz val="8"/>
            <rFont val="Tahoma"/>
            <family val="0"/>
          </rPr>
          <t>Sigríður Ómarsdóttir:</t>
        </r>
        <r>
          <rPr>
            <sz val="8"/>
            <rFont val="Tahoma"/>
            <family val="0"/>
          </rPr>
          <t xml:space="preserve">
+1
</t>
        </r>
      </text>
    </comment>
  </commentList>
</comments>
</file>

<file path=xl/comments12.xml><?xml version="1.0" encoding="utf-8"?>
<comments xmlns="http://schemas.openxmlformats.org/spreadsheetml/2006/main">
  <authors>
    <author>Sigr??ur ?marsd?ttir</author>
  </authors>
  <commentList>
    <comment ref="C32" authorId="0">
      <text>
        <r>
          <rPr>
            <b/>
            <sz val="8"/>
            <rFont val="Tahoma"/>
            <family val="0"/>
          </rPr>
          <t>Sigríður Ómarsdóttir:</t>
        </r>
        <r>
          <rPr>
            <sz val="8"/>
            <rFont val="Tahoma"/>
            <family val="0"/>
          </rPr>
          <t xml:space="preserve">
+1
</t>
        </r>
      </text>
    </comment>
    <comment ref="T39" authorId="0">
      <text>
        <r>
          <rPr>
            <b/>
            <sz val="8"/>
            <rFont val="Tahoma"/>
            <family val="0"/>
          </rPr>
          <t>Sigríður Ómarsdóttir:</t>
        </r>
        <r>
          <rPr>
            <sz val="8"/>
            <rFont val="Tahoma"/>
            <family val="0"/>
          </rPr>
          <t xml:space="preserve">
Stemmir ekki í sundurliðunum á að vera 19.202 hærra ATh</t>
        </r>
      </text>
    </comment>
  </commentList>
</comments>
</file>

<file path=xl/comments13.xml><?xml version="1.0" encoding="utf-8"?>
<comments xmlns="http://schemas.openxmlformats.org/spreadsheetml/2006/main">
  <authors>
    <author>Sigr??ur ?marsd?ttir</author>
  </authors>
  <commentList>
    <comment ref="S6" authorId="0">
      <text>
        <r>
          <rPr>
            <b/>
            <sz val="8"/>
            <rFont val="Tahoma"/>
            <family val="0"/>
          </rPr>
          <t>Sigríður Ómarsdóttir:</t>
        </r>
        <r>
          <rPr>
            <sz val="8"/>
            <rFont val="Tahoma"/>
            <family val="0"/>
          </rPr>
          <t xml:space="preserve">
stjórnarlaun ofl. eru með sjóðinn í rekstri
</t>
        </r>
      </text>
    </comment>
  </commentList>
</comments>
</file>

<file path=xl/comments4.xml><?xml version="1.0" encoding="utf-8"?>
<comments xmlns="http://schemas.openxmlformats.org/spreadsheetml/2006/main">
  <authors>
    <author>Sigr??ur ?marsd?ttir</author>
  </authors>
  <commentList>
    <comment ref="I41" authorId="0">
      <text>
        <r>
          <rPr>
            <b/>
            <sz val="8"/>
            <rFont val="Tahoma"/>
            <family val="0"/>
          </rPr>
          <t>Sigríður Ómarsdóttir:</t>
        </r>
        <r>
          <rPr>
            <sz val="8"/>
            <rFont val="Tahoma"/>
            <family val="0"/>
          </rPr>
          <t xml:space="preserve">
+1
</t>
        </r>
      </text>
    </comment>
    <comment ref="BC48" authorId="0">
      <text>
        <r>
          <rPr>
            <b/>
            <sz val="8"/>
            <rFont val="Tahoma"/>
            <family val="0"/>
          </rPr>
          <t>Sigríður Ómarsdóttir:</t>
        </r>
        <r>
          <rPr>
            <sz val="8"/>
            <rFont val="Tahoma"/>
            <family val="0"/>
          </rPr>
          <t xml:space="preserve">
Stemmir ekki í sundurliðunum á að vera 19.202 hærra ATh</t>
        </r>
      </text>
    </comment>
  </commentList>
</comments>
</file>

<file path=xl/sharedStrings.xml><?xml version="1.0" encoding="utf-8"?>
<sst xmlns="http://schemas.openxmlformats.org/spreadsheetml/2006/main" count="3419" uniqueCount="609">
  <si>
    <t>Lífeyrissj.</t>
  </si>
  <si>
    <t>Sameinaði</t>
  </si>
  <si>
    <t>Söfnunarsj.</t>
  </si>
  <si>
    <t>Samvinnu-</t>
  </si>
  <si>
    <t>Eftirlaunasj.</t>
  </si>
  <si>
    <t xml:space="preserve">Frjálsi </t>
  </si>
  <si>
    <t>Lífeyris-</t>
  </si>
  <si>
    <t>Almennur</t>
  </si>
  <si>
    <t xml:space="preserve">Íslenski </t>
  </si>
  <si>
    <t>Trygginga-</t>
  </si>
  <si>
    <t xml:space="preserve">ALLIR   </t>
  </si>
  <si>
    <t>Fjárhæðir í þús. kr.</t>
  </si>
  <si>
    <t>verslunar-</t>
  </si>
  <si>
    <t>sjómanna</t>
  </si>
  <si>
    <t>starfsm.</t>
  </si>
  <si>
    <t>lífeyris-</t>
  </si>
  <si>
    <t>Framsýn</t>
  </si>
  <si>
    <t>Norður-</t>
  </si>
  <si>
    <t xml:space="preserve">bænda </t>
  </si>
  <si>
    <t>Austur-</t>
  </si>
  <si>
    <t xml:space="preserve">Vest- </t>
  </si>
  <si>
    <t>Suður-</t>
  </si>
  <si>
    <t xml:space="preserve">lækna </t>
  </si>
  <si>
    <t>Vestmanna-</t>
  </si>
  <si>
    <t>Vestur-</t>
  </si>
  <si>
    <t>hjúkrunar-</t>
  </si>
  <si>
    <t>verkalfél.</t>
  </si>
  <si>
    <t xml:space="preserve">K.E.A. </t>
  </si>
  <si>
    <t>Eimskipa-</t>
  </si>
  <si>
    <t>sjóðurinn</t>
  </si>
  <si>
    <t>lífeyrissj.</t>
  </si>
  <si>
    <t>Flugvirkjaf.</t>
  </si>
  <si>
    <t>Bolungar-</t>
  </si>
  <si>
    <t>Rangæinga</t>
  </si>
  <si>
    <t>slökkvilm. á</t>
  </si>
  <si>
    <t>Mjólkur-</t>
  </si>
  <si>
    <t>stm. Kópa-</t>
  </si>
  <si>
    <t>Hafnarfj-</t>
  </si>
  <si>
    <t>stm. Akur-</t>
  </si>
  <si>
    <t>Tannl.fél.</t>
  </si>
  <si>
    <t>Sláturfélags</t>
  </si>
  <si>
    <t>Akranes-</t>
  </si>
  <si>
    <t>stm. Olíu-</t>
  </si>
  <si>
    <t>stm. Húsa-</t>
  </si>
  <si>
    <t xml:space="preserve">starfsm. </t>
  </si>
  <si>
    <t>Neskaup-</t>
  </si>
  <si>
    <t>sjóður</t>
  </si>
  <si>
    <t>stm. Vestm-</t>
  </si>
  <si>
    <t>stm. Rvík.-</t>
  </si>
  <si>
    <t>LÍFEYRISSJ.</t>
  </si>
  <si>
    <t>Séreigna-</t>
  </si>
  <si>
    <t xml:space="preserve">manna  </t>
  </si>
  <si>
    <t>réttinda</t>
  </si>
  <si>
    <t xml:space="preserve">lands </t>
  </si>
  <si>
    <t>firðinga</t>
  </si>
  <si>
    <t xml:space="preserve">nesja </t>
  </si>
  <si>
    <t xml:space="preserve">Íslands </t>
  </si>
  <si>
    <t>Norðurl. v</t>
  </si>
  <si>
    <t>Reykjavb.</t>
  </si>
  <si>
    <t>félags Ísl.</t>
  </si>
  <si>
    <t>Íslandsb. hf.</t>
  </si>
  <si>
    <t>Hlíf</t>
  </si>
  <si>
    <t xml:space="preserve">VÍB   </t>
  </si>
  <si>
    <t>Íslands</t>
  </si>
  <si>
    <t>víkur</t>
  </si>
  <si>
    <t>Keflavflugv.</t>
  </si>
  <si>
    <t>manna</t>
  </si>
  <si>
    <t>samsöl.</t>
  </si>
  <si>
    <t>vogskaupst.</t>
  </si>
  <si>
    <t>kaupst.</t>
  </si>
  <si>
    <t>eyrarbæjar</t>
  </si>
  <si>
    <t>Suðurlands</t>
  </si>
  <si>
    <t>versl. Ísl.</t>
  </si>
  <si>
    <t xml:space="preserve">sjóðurinn </t>
  </si>
  <si>
    <t>Áburðarv.</t>
  </si>
  <si>
    <t>Skjöldur</t>
  </si>
  <si>
    <t xml:space="preserve">bæjar  </t>
  </si>
  <si>
    <t>Eining</t>
  </si>
  <si>
    <t>víkurbæjar</t>
  </si>
  <si>
    <t>Útvegsb. Ísl.</t>
  </si>
  <si>
    <t xml:space="preserve">staðar </t>
  </si>
  <si>
    <t>lækna</t>
  </si>
  <si>
    <t>eyjabæjar</t>
  </si>
  <si>
    <t xml:space="preserve">apóteks </t>
  </si>
  <si>
    <t xml:space="preserve">SAMTALS  </t>
  </si>
  <si>
    <t xml:space="preserve">      (1)</t>
  </si>
  <si>
    <t>(2)</t>
  </si>
  <si>
    <t>(3)</t>
  </si>
  <si>
    <t>(4)</t>
  </si>
  <si>
    <t>(5)</t>
  </si>
  <si>
    <t>(6)</t>
  </si>
  <si>
    <t>(7)</t>
  </si>
  <si>
    <t>(8)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</si>
  <si>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</si>
  <si>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</si>
  <si>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</si>
  <si>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</si>
  <si>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</si>
  <si>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</si>
  <si>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</si>
  <si>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</si>
  <si>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</si>
  <si>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</si>
  <si>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</si>
  <si>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</si>
  <si>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</si>
  <si>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</si>
  <si>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</si>
  <si>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</si>
  <si>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</si>
  <si>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</si>
  <si>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</si>
  <si>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</si>
  <si>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</si>
  <si>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</si>
  <si>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</si>
  <si>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</si>
  <si>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(38)</t>
  </si>
  <si>
    <t>(39)</t>
  </si>
  <si>
    <t>(40)</t>
  </si>
  <si>
    <t>(41)</t>
  </si>
  <si>
    <t>(42)</t>
  </si>
  <si>
    <t>(43)</t>
  </si>
  <si>
    <t>(44)</t>
  </si>
  <si>
    <t>(46)</t>
  </si>
  <si>
    <t>(47)</t>
  </si>
  <si>
    <t>(48)</t>
  </si>
  <si>
    <t>(49)</t>
  </si>
  <si>
    <t>(50)</t>
  </si>
  <si>
    <t>(51)</t>
  </si>
  <si>
    <t>(52)</t>
  </si>
  <si>
    <t>(55)</t>
  </si>
  <si>
    <t>(56)</t>
  </si>
  <si>
    <t>(57)</t>
  </si>
  <si>
    <t>(58)</t>
  </si>
  <si>
    <t xml:space="preserve">HREIN EIGN TIL </t>
  </si>
  <si>
    <t>GREIÐSLU LÍFEYRIS</t>
  </si>
  <si>
    <t xml:space="preserve"> </t>
  </si>
  <si>
    <t>Hrein raunávöxtun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</si>
  <si>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</si>
  <si>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</si>
  <si>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</si>
  <si>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</si>
  <si>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</si>
  <si>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 xml:space="preserve">       Samtals</t>
  </si>
  <si>
    <t>Meðalstaða eigna við útreikn.</t>
  </si>
  <si>
    <t xml:space="preserve"> á ávöxtun</t>
  </si>
  <si>
    <t>%</t>
  </si>
  <si>
    <t>Lífeyrissjóður verslunarmanna</t>
  </si>
  <si>
    <t>Lífeyrissjóður sjómanna</t>
  </si>
  <si>
    <t>1)</t>
  </si>
  <si>
    <t>Sameinaði lífeyrissjóðurinn</t>
  </si>
  <si>
    <t>2)</t>
  </si>
  <si>
    <t>Söfnunarsjóður lífeyrisréttinda</t>
  </si>
  <si>
    <t>Lífeyrissjóður Norðurlands</t>
  </si>
  <si>
    <t>Samvinnulífeyrissjóðurinn</t>
  </si>
  <si>
    <t>Lífeyrissjóður bænda</t>
  </si>
  <si>
    <t>Lífeyrissjóður Austurlands</t>
  </si>
  <si>
    <t>Lífeyrissjóður Vestfirðinga</t>
  </si>
  <si>
    <t>Lífeyrissjóður Suðurnesja</t>
  </si>
  <si>
    <t>Lífeyrissjóður lækna</t>
  </si>
  <si>
    <t>Lífeyrissjóður Vesturlands</t>
  </si>
  <si>
    <t>Frjálsi lífeyrissjóðurinn</t>
  </si>
  <si>
    <t>Lífeyrissjóður K.E.A.</t>
  </si>
  <si>
    <t>Lífeyrissjóður verkalýðsfél. á Norðurl. vestra</t>
  </si>
  <si>
    <t>Lífeyrissjóður starfsmanna Reykjavíkurborgar</t>
  </si>
  <si>
    <t>Lífeyrissjóður Eimskipafélags Íslands hf.</t>
  </si>
  <si>
    <t>Eftirlaunasj. starfsmanna Íslandsbanka hf.</t>
  </si>
  <si>
    <t>Lífeyrissjóðurinn Hlíf</t>
  </si>
  <si>
    <t>Almennur lífeyrissjóður VÍB</t>
  </si>
  <si>
    <t>Lífeyrissjóður Flugvirkjafélags Íslands</t>
  </si>
  <si>
    <t>Lífeyrissjóður Bolungarvíkur</t>
  </si>
  <si>
    <t>Lífeyrissjóður Rangæinga</t>
  </si>
  <si>
    <t>Eftirlaunasj. slökkviliðsmanna á Keflavíkurfl.v.</t>
  </si>
  <si>
    <t>Lífeyrissjóður starfsm. Kópavogskaupstaðar</t>
  </si>
  <si>
    <t>Lífeyrissjóður starfsm. Akureyrarbæjar</t>
  </si>
  <si>
    <t>Lífeyrissjóður Tannlæknafélags Íslands</t>
  </si>
  <si>
    <t>Eftirlaunasjóður Sláturf. Suðurlands</t>
  </si>
  <si>
    <t>Lífeyrissjóður Akraneskaupstaðar</t>
  </si>
  <si>
    <t>Eftirlaunasjóður starfsmanna Olíuverslunar Ísl.</t>
  </si>
  <si>
    <t>Íslenski lífeyrissjóðurinn</t>
  </si>
  <si>
    <t>Lífeyrissjóðurinn Skjöldur</t>
  </si>
  <si>
    <t>Lífeyrissjóðurinn Eining</t>
  </si>
  <si>
    <t>Lífeyrissjóður starfsmanna Húsavíkurbæjar</t>
  </si>
  <si>
    <t>Eftirlaunasjóður starfsm. Útvegsbanka Ísl.</t>
  </si>
  <si>
    <t>Lífeyrissjóður Neskaupstaðar</t>
  </si>
  <si>
    <t>Tryggingasjóður lækna</t>
  </si>
  <si>
    <t>Lífeyrissjóður starfsm. Vestmannaeyjabæjar</t>
  </si>
  <si>
    <t>Lífeyrissjóður starfsm. Reykjavíkurapóteks</t>
  </si>
  <si>
    <t>(9)</t>
  </si>
  <si>
    <t>(10)</t>
  </si>
  <si>
    <t>(11)</t>
  </si>
  <si>
    <t>Lífeyrissjóðurinn Framsýn</t>
  </si>
  <si>
    <t xml:space="preserve">fræðinga </t>
  </si>
  <si>
    <t>Lífeyrissjóður hjúkrunarfræðinga</t>
  </si>
  <si>
    <t>(53)</t>
  </si>
  <si>
    <t xml:space="preserve">    þ.a. tekjur </t>
  </si>
  <si>
    <t xml:space="preserve">    þ.a.  gjöld</t>
  </si>
  <si>
    <t xml:space="preserve">    Annar rekstrarkostnaður </t>
  </si>
  <si>
    <t xml:space="preserve">    Tap af sölu fjárfestinga</t>
  </si>
  <si>
    <t xml:space="preserve">    Vaxtagjöld</t>
  </si>
  <si>
    <t xml:space="preserve">    Reikn. tekjur/gjöld v. verðl.br. </t>
  </si>
  <si>
    <t xml:space="preserve">    Hagnaður af sölu fjárfestinga</t>
  </si>
  <si>
    <t xml:space="preserve">    Vaxtatekjur og gengismunur</t>
  </si>
  <si>
    <t xml:space="preserve">    Lífeyrir </t>
  </si>
  <si>
    <t xml:space="preserve">    Sjóðfélagar</t>
  </si>
  <si>
    <t xml:space="preserve">    Launagreiðendur </t>
  </si>
  <si>
    <t xml:space="preserve">    Réttindaflutn. og endurgr.</t>
  </si>
  <si>
    <t xml:space="preserve">     Iðgjöld    </t>
  </si>
  <si>
    <t xml:space="preserve">     Lífeyrir    </t>
  </si>
  <si>
    <t xml:space="preserve">     Fjárfestingartekjur    </t>
  </si>
  <si>
    <t xml:space="preserve">             Fjárfestingargjöld    </t>
  </si>
  <si>
    <t xml:space="preserve">     Rekstrarkostnaður    </t>
  </si>
  <si>
    <t xml:space="preserve">    Af eignarhlutum</t>
  </si>
  <si>
    <t xml:space="preserve">    Af húseignum og lóðum</t>
  </si>
  <si>
    <t xml:space="preserve">    Skrifstofu- og stjórnunarkostnaður </t>
  </si>
  <si>
    <t>Iðgjöld</t>
  </si>
  <si>
    <t>Lífeyrir</t>
  </si>
  <si>
    <t>Fjárfestingartekjur</t>
  </si>
  <si>
    <t>Fjárfestingargjöld</t>
  </si>
  <si>
    <t xml:space="preserve">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</si>
  <si>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</si>
  <si>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</si>
  <si>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</si>
  <si>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</si>
  <si>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</si>
  <si>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>Matsbreytingar</t>
  </si>
  <si>
    <t>Hækkun á hreinni eign á árinu</t>
  </si>
  <si>
    <t>Hrein eign frá fyrra ári</t>
  </si>
  <si>
    <t xml:space="preserve">EIGNIR </t>
  </si>
  <si>
    <t>SKULDIR</t>
  </si>
  <si>
    <t xml:space="preserve">Kröfur    </t>
  </si>
  <si>
    <t xml:space="preserve">Aðrar eignir    </t>
  </si>
  <si>
    <t xml:space="preserve">Viðskiptaskuldir    </t>
  </si>
  <si>
    <t>Lífiðn</t>
  </si>
  <si>
    <r>
      <t xml:space="preserve">SKULDIR SAMTALS    </t>
    </r>
    <r>
      <rPr>
        <i/>
        <sz val="10"/>
        <color indexed="18"/>
        <rFont val="Times New Roman"/>
        <family val="1"/>
      </rPr>
      <t xml:space="preserve">    </t>
    </r>
  </si>
  <si>
    <t xml:space="preserve">EIGNIR SAMTALS      </t>
  </si>
  <si>
    <t xml:space="preserve">    Tekjur vegna matsbr. fjárfestinga</t>
  </si>
  <si>
    <t xml:space="preserve">    Gjöld vegna matsbr. fjárfestinga</t>
  </si>
  <si>
    <t>Lífeyrissjóðurinn Lífiðn</t>
  </si>
  <si>
    <t>Séreignalífeyrissjóðurinn</t>
  </si>
  <si>
    <r>
      <t xml:space="preserve">   </t>
    </r>
    <r>
      <rPr>
        <b/>
        <sz val="10"/>
        <color indexed="18"/>
        <rFont val="Times New Roman"/>
        <family val="1"/>
      </rPr>
      <t>Fyrirfr.gr.kostn.og áfallnar tekjur</t>
    </r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</si>
  <si>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</si>
  <si>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</si>
  <si>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</si>
  <si>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</si>
  <si>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</si>
  <si>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Kröfur</t>
  </si>
  <si>
    <t xml:space="preserve">     Á launagreiðendur</t>
  </si>
  <si>
    <t xml:space="preserve">     Aðrar kröfur</t>
  </si>
  <si>
    <t xml:space="preserve">  Aðrar eignir</t>
  </si>
  <si>
    <t xml:space="preserve">     Rekstrarfjárm. og aðrar efnisl. eignir</t>
  </si>
  <si>
    <t xml:space="preserve">     Aðrar eignir</t>
  </si>
  <si>
    <r>
      <t xml:space="preserve">  </t>
    </r>
    <r>
      <rPr>
        <b/>
        <sz val="10"/>
        <color indexed="18"/>
        <rFont val="Times New Roman"/>
        <family val="1"/>
      </rPr>
      <t>Skuldbindingar</t>
    </r>
  </si>
  <si>
    <r>
      <t xml:space="preserve">   </t>
    </r>
    <r>
      <rPr>
        <b/>
        <sz val="10"/>
        <color indexed="18"/>
        <rFont val="Times New Roman"/>
        <family val="1"/>
      </rPr>
      <t>Viðskiptaskuldir</t>
    </r>
  </si>
  <si>
    <t xml:space="preserve">     Skuldir við lánastofnanir</t>
  </si>
  <si>
    <t xml:space="preserve">     Skuldabréfalán</t>
  </si>
  <si>
    <t xml:space="preserve">     Aðrar skuldir</t>
  </si>
  <si>
    <t>HREIN EIGN Í ÁRSLOK</t>
  </si>
  <si>
    <t>TIL GREIÐSLU LÍFEYRIS</t>
  </si>
  <si>
    <t>Reykjanes-</t>
  </si>
  <si>
    <t>Eftirlaunasjóður Reykjanesbæjar</t>
  </si>
  <si>
    <t xml:space="preserve">eyja </t>
  </si>
  <si>
    <t>Lífeyrissjóður Vestmannaeyja</t>
  </si>
  <si>
    <t>Eftirlaunasjóður FÍA</t>
  </si>
  <si>
    <t>Eftirlauna-</t>
  </si>
  <si>
    <t>FÍA</t>
  </si>
  <si>
    <t>Eftirlaunasj. starfsm. Hafnarfjarðarkaupstaðar</t>
  </si>
  <si>
    <t>Lífeyrissj. starfsm. Áburðarverksmiðju ríkisins</t>
  </si>
  <si>
    <t xml:space="preserve">   Áfallinn kostn. og f.fr.innh.tekjur</t>
  </si>
  <si>
    <t>Fjárfestingar</t>
  </si>
  <si>
    <t>annarra</t>
  </si>
  <si>
    <t>með ábyrgð</t>
  </si>
  <si>
    <t>banka-</t>
  </si>
  <si>
    <t>Lífeyrissjóður bankamanna</t>
  </si>
  <si>
    <t xml:space="preserve">arkitekta og </t>
  </si>
  <si>
    <t>tæknifr.</t>
  </si>
  <si>
    <t>sveitarfél.</t>
  </si>
  <si>
    <t>Lífeyrissjóður arkitekta og tæknifræðinga</t>
  </si>
  <si>
    <t>Lífeyrissjóður starfsmanna sveitarfélaga</t>
  </si>
  <si>
    <t xml:space="preserve">kaupst. </t>
  </si>
  <si>
    <t>Lífeyrissjóður Suðurlands</t>
  </si>
  <si>
    <t>Lífeyrissjóður verkfræðinga</t>
  </si>
  <si>
    <t>fræðinga</t>
  </si>
  <si>
    <t>verk-</t>
  </si>
  <si>
    <t>Búnaðarb.</t>
  </si>
  <si>
    <t>Útreikningur á kennitölum:</t>
  </si>
  <si>
    <t>Lífeyrissjóður starfsm. Búnaðarbanka Íslands hf.</t>
  </si>
  <si>
    <t xml:space="preserve">Lífeyrissjóður Mjólkursamsölunnar               </t>
  </si>
  <si>
    <t xml:space="preserve"> 31.12.1999</t>
  </si>
  <si>
    <t xml:space="preserve">    Frá samstæðufélögum</t>
  </si>
  <si>
    <t xml:space="preserve">    Frá hlutdeildarfélögum</t>
  </si>
  <si>
    <t xml:space="preserve">    Breytingar á niðurfærslu</t>
  </si>
  <si>
    <t xml:space="preserve">    Aðrar fjárfestingartekjur</t>
  </si>
  <si>
    <t xml:space="preserve">    Önnur fjárfestingargjöld</t>
  </si>
  <si>
    <t xml:space="preserve">     Bankainnstæður</t>
  </si>
  <si>
    <t xml:space="preserve">     Á samstæðu- og hlutdeildarfél.</t>
  </si>
  <si>
    <t xml:space="preserve">     Sjóður og veltiinnlán</t>
  </si>
  <si>
    <t xml:space="preserve">     Skuldir við samst.- og hlutdeildarfél.</t>
  </si>
  <si>
    <t>Fjárfestingatekjur nettó fyrir</t>
  </si>
  <si>
    <t>verðbreyt.færslu - kostnaður</t>
  </si>
  <si>
    <t>i</t>
  </si>
  <si>
    <t>1) 2)</t>
  </si>
  <si>
    <t>án ábyrgðar</t>
  </si>
  <si>
    <t>Annar lífeyrir í þús.kr.</t>
  </si>
  <si>
    <t>(26)</t>
  </si>
  <si>
    <t xml:space="preserve">Lífeyrissjóður starfsmanna ríkisins </t>
  </si>
  <si>
    <t>Útreikningur á kennitölum</t>
  </si>
  <si>
    <t>Hrein eign</t>
  </si>
  <si>
    <t>(14 sjóðir)</t>
  </si>
  <si>
    <t>(60)</t>
  </si>
  <si>
    <t>(46 sjóðir)</t>
  </si>
  <si>
    <t>Hlutfalls-</t>
  </si>
  <si>
    <t>Lífeyrissj. stm. Búnaðarbanka Ísl. hf.</t>
  </si>
  <si>
    <t>Lífeyrissj. arkitekta og tæknifræðinga</t>
  </si>
  <si>
    <t>Lífeyrissj. verkalýðsfél. á Norðurl. v.</t>
  </si>
  <si>
    <t>Lífeyrissj. starfsm. Reykjavíkurborgar</t>
  </si>
  <si>
    <t>Lífeyrissj. Eimskipafélags Íslands hf.</t>
  </si>
  <si>
    <t>Eftirlaunasj. starfsm. Íslandsbanka hf.</t>
  </si>
  <si>
    <t>Eftirl.sj. Slökkviliðsm. á Keflavíkurfl.v.</t>
  </si>
  <si>
    <t>Lífeyrissj. starfsm. Kópavogskaupst.</t>
  </si>
  <si>
    <t>Eftirl.sj. starfsm. Hafnarfjarðarkaupst.</t>
  </si>
  <si>
    <t>Lífeyrissj. Tannlæknafélags Íslands</t>
  </si>
  <si>
    <t>Lífeyrissjóður starfsm. sveitarfélaga</t>
  </si>
  <si>
    <t>Lífeyrissj. stm. Áburðarv.smiðju ríkisins</t>
  </si>
  <si>
    <t>Eftirlaunasj. starfsm. Olíuverslunar Ísl.</t>
  </si>
  <si>
    <t>Lífeyrissj. starfsm. Húsavíkurbæjar</t>
  </si>
  <si>
    <t>Eftirlaunasj. starfsm. Útvegsbanka Ísl.</t>
  </si>
  <si>
    <t>Lífeyrissj. starfsm. Vestmannaeyjabæjar</t>
  </si>
  <si>
    <t>Lífeyrissj. stm. Reykjavíkurapóteks</t>
  </si>
  <si>
    <t xml:space="preserve">Samtals:   </t>
  </si>
  <si>
    <t xml:space="preserve">      (Eignir - áfallin skuldbinding) / áfallin skuldbinding.</t>
  </si>
  <si>
    <t xml:space="preserve"> 31.12.2000</t>
  </si>
  <si>
    <t>Rekstrarfjármunir viðbót á árinu</t>
  </si>
  <si>
    <t>Laun og launatengd gjöld</t>
  </si>
  <si>
    <t>Heildarskuldbindingar</t>
  </si>
  <si>
    <t>Stöðugildi á árinu</t>
  </si>
  <si>
    <t>Áfallnar skuldbindingar</t>
  </si>
  <si>
    <t>Hækkun vísit. neysluv.2000 (VNV)          j</t>
  </si>
  <si>
    <t>st. ríkisins</t>
  </si>
  <si>
    <t>B-deild</t>
  </si>
  <si>
    <t>A-deild</t>
  </si>
  <si>
    <t>Alþingis-</t>
  </si>
  <si>
    <t>mannadeild</t>
  </si>
  <si>
    <t>Ráðherra-</t>
  </si>
  <si>
    <t>deild</t>
  </si>
  <si>
    <t>samtals</t>
  </si>
  <si>
    <t>6,45%*</t>
  </si>
  <si>
    <t>Stigadeild</t>
  </si>
  <si>
    <t>Aldurst. 7,4% Stigad.-3,4%</t>
  </si>
  <si>
    <t>5,7%*</t>
  </si>
  <si>
    <t xml:space="preserve">    Hrein raunávöxtun</t>
  </si>
  <si>
    <t xml:space="preserve">    Fjöldi sjóðfélaga</t>
  </si>
  <si>
    <t xml:space="preserve">    Fjöldi lífeyrisþega</t>
  </si>
  <si>
    <t>Leið II 5,4%</t>
  </si>
  <si>
    <t>Leið I -0,6%</t>
  </si>
  <si>
    <t>Safn II 3,6%</t>
  </si>
  <si>
    <t>Safn I 8,4%</t>
  </si>
  <si>
    <t>Raunávöxtun</t>
  </si>
  <si>
    <t>Fs. 1.  3,1%</t>
  </si>
  <si>
    <t>Fs. 2. 6,2%</t>
  </si>
  <si>
    <t>Ævis. I -3,2%</t>
  </si>
  <si>
    <t>Ævis. II -3,3%</t>
  </si>
  <si>
    <t>Ævis. III -0,1%</t>
  </si>
  <si>
    <t xml:space="preserve">Test </t>
  </si>
  <si>
    <t>Listi - Kerfi</t>
  </si>
  <si>
    <t>Yfirlit -Efnah</t>
  </si>
  <si>
    <t>(37)</t>
  </si>
  <si>
    <t>(45)</t>
  </si>
  <si>
    <t>(54)</t>
  </si>
  <si>
    <t>Séreignar-</t>
  </si>
  <si>
    <t>Aðrar fjárfestingar skv. efnahag</t>
  </si>
  <si>
    <t>Aldurstengd</t>
  </si>
  <si>
    <t>Stiga</t>
  </si>
  <si>
    <t>Hlutfalls</t>
  </si>
  <si>
    <t>V-deild</t>
  </si>
  <si>
    <t>Stiga-</t>
  </si>
  <si>
    <t>(42 sjóðir)</t>
  </si>
  <si>
    <t>Deild I</t>
  </si>
  <si>
    <t>Deild II</t>
  </si>
  <si>
    <t>*3,88%</t>
  </si>
  <si>
    <t>Test</t>
  </si>
  <si>
    <t>Séreignard-</t>
  </si>
  <si>
    <t>Safn II 7,5%</t>
  </si>
  <si>
    <t>Safn I 7,6%</t>
  </si>
  <si>
    <t>3)</t>
  </si>
  <si>
    <t>1) 5)</t>
  </si>
  <si>
    <t>Sama</t>
  </si>
  <si>
    <t>Lífeyrissjóður</t>
  </si>
  <si>
    <t>*</t>
  </si>
  <si>
    <t>Aldurst. 28,7% Stigad.0,6%</t>
  </si>
  <si>
    <t>Vantar úttekt</t>
  </si>
  <si>
    <t>Vantar</t>
  </si>
  <si>
    <t>2) 4)</t>
  </si>
  <si>
    <t>x</t>
  </si>
  <si>
    <t xml:space="preserve"> -0,3%*</t>
  </si>
  <si>
    <t>7,2%*</t>
  </si>
  <si>
    <t>Amounts in 000 IKR.</t>
  </si>
  <si>
    <t>ASSETS</t>
  </si>
  <si>
    <t xml:space="preserve">   Intangible assets</t>
  </si>
  <si>
    <t xml:space="preserve">   Investments</t>
  </si>
  <si>
    <t xml:space="preserve">     Buldings and premises</t>
  </si>
  <si>
    <t xml:space="preserve">     Consolidated and affiliated undertakings</t>
  </si>
  <si>
    <t xml:space="preserve">     Shares in consolidated undertakings</t>
  </si>
  <si>
    <t xml:space="preserve">     Loans to consolidated undertakings</t>
  </si>
  <si>
    <t xml:space="preserve">     Shares in affiliated undertakings</t>
  </si>
  <si>
    <t xml:space="preserve">     Loans to affiliated undertakings</t>
  </si>
  <si>
    <t xml:space="preserve">      Variable-yield securities</t>
  </si>
  <si>
    <t xml:space="preserve">      Fixed rate securities</t>
  </si>
  <si>
    <t xml:space="preserve">      Mortgage loans</t>
  </si>
  <si>
    <t xml:space="preserve">      Other loans</t>
  </si>
  <si>
    <t xml:space="preserve">      Bank deposits</t>
  </si>
  <si>
    <t xml:space="preserve">      Other investments</t>
  </si>
  <si>
    <t>Other investments</t>
  </si>
  <si>
    <t>Investments</t>
  </si>
  <si>
    <t xml:space="preserve">   Claims</t>
  </si>
  <si>
    <t xml:space="preserve">     On consolidated and affiliated undertakings</t>
  </si>
  <si>
    <t xml:space="preserve">     On employers</t>
  </si>
  <si>
    <t xml:space="preserve">     Other claims</t>
  </si>
  <si>
    <t>Claims</t>
  </si>
  <si>
    <t xml:space="preserve">   Other assets</t>
  </si>
  <si>
    <t xml:space="preserve">     Operating and other tangible assets</t>
  </si>
  <si>
    <t xml:space="preserve">     Cash and current deposits</t>
  </si>
  <si>
    <t xml:space="preserve">     Other assets</t>
  </si>
  <si>
    <t>Other assets</t>
  </si>
  <si>
    <r>
      <t xml:space="preserve">   </t>
    </r>
    <r>
      <rPr>
        <b/>
        <sz val="10"/>
        <rFont val="Times New Roman"/>
        <family val="1"/>
      </rPr>
      <t>Prepaid expenses and accrued income</t>
    </r>
  </si>
  <si>
    <t>TOTAL ASSETS</t>
  </si>
  <si>
    <t>LIABILITIES</t>
  </si>
  <si>
    <r>
      <t xml:space="preserve">  </t>
    </r>
    <r>
      <rPr>
        <b/>
        <sz val="10"/>
        <rFont val="Times New Roman"/>
        <family val="1"/>
      </rPr>
      <t>Obligations</t>
    </r>
  </si>
  <si>
    <r>
      <t xml:space="preserve">   </t>
    </r>
    <r>
      <rPr>
        <b/>
        <sz val="10"/>
        <rFont val="Times New Roman"/>
        <family val="1"/>
      </rPr>
      <t>Accounts payable</t>
    </r>
  </si>
  <si>
    <t xml:space="preserve">   Liabilities with consolid. and affil. undert.</t>
  </si>
  <si>
    <t xml:space="preserve">   Liabilities with credit institutions</t>
  </si>
  <si>
    <t xml:space="preserve">   Bonds payable</t>
  </si>
  <si>
    <t xml:space="preserve">   Other liabilities</t>
  </si>
  <si>
    <t>Accounts payable</t>
  </si>
  <si>
    <t xml:space="preserve">   Accrued expenses and unearned income</t>
  </si>
  <si>
    <t>TOTAL LIABILITIES</t>
  </si>
  <si>
    <t>NET ASSETS FOR PENSION</t>
  </si>
  <si>
    <t>PAYMENTS</t>
  </si>
  <si>
    <t>Premiums</t>
  </si>
  <si>
    <t xml:space="preserve">    Members</t>
  </si>
  <si>
    <t xml:space="preserve">    Employers</t>
  </si>
  <si>
    <t xml:space="preserve">    Transfer of rights and repayments</t>
  </si>
  <si>
    <t xml:space="preserve">    Special additional contributions</t>
  </si>
  <si>
    <t>Pension</t>
  </si>
  <si>
    <t xml:space="preserve">    Pension</t>
  </si>
  <si>
    <t xml:space="preserve">    The Pension Committee</t>
  </si>
  <si>
    <t xml:space="preserve">    Other direct expenses from disability pension</t>
  </si>
  <si>
    <t xml:space="preserve">    Insurance expenses</t>
  </si>
  <si>
    <t>Investment income</t>
  </si>
  <si>
    <t xml:space="preserve">    From consolidated undertakings</t>
  </si>
  <si>
    <t xml:space="preserve">    From affiliated undertakings</t>
  </si>
  <si>
    <t xml:space="preserve">    From holdings</t>
  </si>
  <si>
    <t xml:space="preserve">    From buildings and premises</t>
  </si>
  <si>
    <t xml:space="preserve">    Interest income and exchange rate difference</t>
  </si>
  <si>
    <t xml:space="preserve">    Income of changes in valuation of investment</t>
  </si>
  <si>
    <t xml:space="preserve">    Profit from sale of investments</t>
  </si>
  <si>
    <t xml:space="preserve">    Changes in asset reduction</t>
  </si>
  <si>
    <t xml:space="preserve">    Other investment income</t>
  </si>
  <si>
    <t xml:space="preserve">    Calculated inflation adjustment</t>
  </si>
  <si>
    <t>Investment expenses</t>
  </si>
  <si>
    <t xml:space="preserve">    Office and management expenses</t>
  </si>
  <si>
    <t xml:space="preserve">    Interest expenses</t>
  </si>
  <si>
    <t xml:space="preserve">    Expenses of changes in valuation of investment</t>
  </si>
  <si>
    <t xml:space="preserve">    Loss on sale of investments</t>
  </si>
  <si>
    <t xml:space="preserve">    Other investment expenses</t>
  </si>
  <si>
    <t xml:space="preserve">Operating expenses    </t>
  </si>
  <si>
    <t xml:space="preserve">    Other operating expenses</t>
  </si>
  <si>
    <t>Operating expenses</t>
  </si>
  <si>
    <t>Other income</t>
  </si>
  <si>
    <t>Other expenses</t>
  </si>
  <si>
    <t>Increase in net assets before extraordinary</t>
  </si>
  <si>
    <t>items and changes in valuation</t>
  </si>
  <si>
    <t>Extraordinary items</t>
  </si>
  <si>
    <t xml:space="preserve">    Extraordinary income</t>
  </si>
  <si>
    <t xml:space="preserve">    Extraordinary expenses</t>
  </si>
  <si>
    <t>Changes in valuation</t>
  </si>
  <si>
    <t>Increase in net assets</t>
  </si>
  <si>
    <t>Net assets from previous year end</t>
  </si>
  <si>
    <t xml:space="preserve">NET ASSETS FOR PENSION </t>
  </si>
  <si>
    <t>PAYMENTS END OF YEAR</t>
  </si>
  <si>
    <t>Inflow</t>
  </si>
  <si>
    <t xml:space="preserve">    Premiums</t>
  </si>
  <si>
    <t xml:space="preserve">    Investment income</t>
  </si>
  <si>
    <t xml:space="preserve">    Other income</t>
  </si>
  <si>
    <t xml:space="preserve">    Securities amortizations</t>
  </si>
  <si>
    <t xml:space="preserve">    Sold variable yield securities</t>
  </si>
  <si>
    <t xml:space="preserve">    Sold fixed rate securities</t>
  </si>
  <si>
    <t xml:space="preserve">    Reduction of bank deposits</t>
  </si>
  <si>
    <t xml:space="preserve">    Sold other investments</t>
  </si>
  <si>
    <t xml:space="preserve">    Other inflow</t>
  </si>
  <si>
    <t>Outflow</t>
  </si>
  <si>
    <t xml:space="preserve">    Pension payment</t>
  </si>
  <si>
    <t xml:space="preserve">    Investment expenses</t>
  </si>
  <si>
    <t xml:space="preserve">    Operating exp. excluding depreciation</t>
  </si>
  <si>
    <t xml:space="preserve">    Other expenses</t>
  </si>
  <si>
    <t xml:space="preserve">    Other outflow</t>
  </si>
  <si>
    <t>Disposable resources to purchase securities</t>
  </si>
  <si>
    <t xml:space="preserve">and other investments </t>
  </si>
  <si>
    <t>Purchase of securities and other investments</t>
  </si>
  <si>
    <t xml:space="preserve">    Variable-yield securities</t>
  </si>
  <si>
    <t xml:space="preserve">    Fixed rate securities</t>
  </si>
  <si>
    <t xml:space="preserve">    New mortgage loans and other loans</t>
  </si>
  <si>
    <t xml:space="preserve">    Increase of bank deposits</t>
  </si>
  <si>
    <t xml:space="preserve">    Other investments, cf. item 4.6</t>
  </si>
  <si>
    <t xml:space="preserve">    Buildings and premises</t>
  </si>
  <si>
    <t xml:space="preserve">    Consolidated and affiliated undertakings</t>
  </si>
  <si>
    <t xml:space="preserve">Purchase of securities and other investments </t>
  </si>
  <si>
    <t>Increase in cash and current deposits</t>
  </si>
  <si>
    <t>Cash and current deposits at beginning of year</t>
  </si>
  <si>
    <t>Cash and current deposits end of year</t>
  </si>
  <si>
    <t>Net real rate of return</t>
  </si>
  <si>
    <t>Average net real rate of return 1994-1999</t>
  </si>
  <si>
    <t>Quoted variable yield securities (%)</t>
  </si>
  <si>
    <t>Quoted fixed rate securities (%)</t>
  </si>
  <si>
    <t>Unquoted variable yield securities (%)</t>
  </si>
  <si>
    <t>Unquoted fixed yield securities (%)</t>
  </si>
  <si>
    <t>Mortgages (%)</t>
  </si>
  <si>
    <t>Other investments (%)</t>
  </si>
  <si>
    <t xml:space="preserve">           Total:</t>
  </si>
  <si>
    <t>Assets in ISK (%)</t>
  </si>
  <si>
    <t>Assets in foreign currencies (%)</t>
  </si>
  <si>
    <t>Number of fund members</t>
  </si>
  <si>
    <t>Number of pensioners</t>
  </si>
  <si>
    <t>Old-age pension  (%)</t>
  </si>
  <si>
    <t>Disability pension  (%)</t>
  </si>
  <si>
    <t>Pension to surviving spouse  (%)</t>
  </si>
  <si>
    <t>Pension to surviving children  (%)</t>
  </si>
  <si>
    <t>Other pension</t>
  </si>
  <si>
    <t xml:space="preserve">            Total:</t>
  </si>
  <si>
    <t>Pensions´ burden</t>
  </si>
  <si>
    <t>Net assets in surplus of total obligations</t>
  </si>
  <si>
    <t>Net assets in surplus of accrued obligations</t>
  </si>
  <si>
    <t>Miscellaneous remarks:</t>
  </si>
  <si>
    <t>000 IKR</t>
  </si>
  <si>
    <t>by size</t>
  </si>
  <si>
    <t>Number</t>
  </si>
  <si>
    <t>Net assets</t>
  </si>
  <si>
    <t>Pension units</t>
  </si>
  <si>
    <t xml:space="preserve">Final salary </t>
  </si>
  <si>
    <t>Age based</t>
  </si>
  <si>
    <t xml:space="preserve">schemes </t>
  </si>
  <si>
    <t>units schemes</t>
  </si>
  <si>
    <t>Pension schemes:</t>
  </si>
  <si>
    <t>Pension units:  Premiums are converted into pension units.  All premiums are equally weighted counter to the Age-based units scheme.</t>
  </si>
  <si>
    <t>Final salary:  Pension rights are based on final salary og other similar benchmarks (defined benefit scheme).</t>
  </si>
  <si>
    <t>Age dependent units: Premiums are converted into pension units according to the member´s age.  A young member´s premium accumulates</t>
  </si>
  <si>
    <t xml:space="preserve">    more interest until the pension is paid and is therefore more valuable.</t>
  </si>
  <si>
    <t>Personal pension: Individual accounts.</t>
  </si>
  <si>
    <t>Total of 56 pension funds.</t>
  </si>
  <si>
    <t>Marketable bonds</t>
  </si>
  <si>
    <t>Treasure notes and bonds</t>
  </si>
  <si>
    <t>Municipalities bonds</t>
  </si>
  <si>
    <t>Other securities</t>
  </si>
  <si>
    <t>Other securites</t>
  </si>
  <si>
    <t>Mortgage loans</t>
  </si>
  <si>
    <t>Total</t>
  </si>
  <si>
    <t>Shares</t>
  </si>
  <si>
    <t>Listed shares</t>
  </si>
  <si>
    <t>Unlisted shares</t>
  </si>
  <si>
    <t>INVESTMENTS TOTAL</t>
  </si>
  <si>
    <t>Thereof foreign securites</t>
  </si>
  <si>
    <t xml:space="preserve">Thereof unlisted securites   </t>
  </si>
  <si>
    <t>Increase</t>
  </si>
  <si>
    <t>in 2000</t>
  </si>
  <si>
    <t>Explanations:</t>
  </si>
  <si>
    <t>1) Obligations guaranteed by others.  2) No longer receive premiums.</t>
  </si>
  <si>
    <t>Funds</t>
  </si>
  <si>
    <t>Funds not</t>
  </si>
  <si>
    <t>guaranteed</t>
  </si>
  <si>
    <t>by others</t>
  </si>
  <si>
    <t xml:space="preserve">4) Obligations guaranteed by others for department II but the fund in total is grouped as fund not guaranteed by others. </t>
  </si>
  <si>
    <t xml:space="preserve">5) Obligations guaranteed by others for department A but the fund in total is grouped as fund not guaranteed by others. </t>
  </si>
  <si>
    <t>Total:</t>
  </si>
  <si>
    <t>TOTAL</t>
  </si>
  <si>
    <t>(14 funds)</t>
  </si>
  <si>
    <t>(42 funds)</t>
  </si>
  <si>
    <t>Credit instituitions notes and bonds</t>
  </si>
  <si>
    <t>Explanation to financial ratios:</t>
  </si>
  <si>
    <t xml:space="preserve">      where operating cost has been deducted from investment income.</t>
  </si>
  <si>
    <t xml:space="preserve"> 2.  Average net real rate of return for the last five years according to the annual accounts.</t>
  </si>
  <si>
    <t xml:space="preserve"> 3.  Proportion of other investments.</t>
  </si>
  <si>
    <t xml:space="preserve"> 4.  Proportion of other by currencies.</t>
  </si>
  <si>
    <t xml:space="preserve"> 8.  Pension in percentages of premiums.</t>
  </si>
  <si>
    <t xml:space="preserve">      present value of future contributions) – total obligations)/total obligations.</t>
  </si>
  <si>
    <t xml:space="preserve">      accrued obligations)/accrued obligations.</t>
  </si>
  <si>
    <t xml:space="preserve"> 1.  Net real rate of return based on the Consumer price index (4,18% increase in 2000)</t>
  </si>
  <si>
    <t xml:space="preserve"> 9.  Financial position in accordance with an actuarial survey pr. 31.12.2000 ((Assets + </t>
  </si>
  <si>
    <t xml:space="preserve">10. Financial position in accordance with an actuarial survey pr. 31.12.2000 (Assets - </t>
  </si>
  <si>
    <t xml:space="preserve"> 5.  Average number of fund members contributing premiums in 2000.</t>
  </si>
  <si>
    <t xml:space="preserve"> 6.  Average number of pensioners receiving payment in 2000.</t>
  </si>
  <si>
    <t>7.   Other pension is inheritance paid from private pension plans.</t>
  </si>
  <si>
    <t>Thereof unit shares</t>
  </si>
  <si>
    <t xml:space="preserve">3) Pension funds that merged in the year 2000 are included in the net asset at the end of the year.  </t>
  </si>
  <si>
    <t xml:space="preserve">Personal </t>
  </si>
  <si>
    <t>last 3 years</t>
  </si>
  <si>
    <t>*Average yield</t>
  </si>
  <si>
    <t>last 2 years</t>
  </si>
  <si>
    <t>last 4 years</t>
  </si>
  <si>
    <t xml:space="preserve">No longer </t>
  </si>
  <si>
    <t>receive prem.</t>
  </si>
  <si>
    <t>Net real return</t>
  </si>
  <si>
    <t>insignificant</t>
  </si>
  <si>
    <t>*Results of actuarial</t>
  </si>
  <si>
    <t>survey on the financial</t>
  </si>
  <si>
    <t>position not available</t>
  </si>
  <si>
    <t xml:space="preserve">    Other investments  </t>
  </si>
  <si>
    <t xml:space="preserve">Following list shows operating pension funds at the year-end 2000 listed by alphabetical order. </t>
  </si>
  <si>
    <t>pension schemes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</si>
</sst>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,##0_);\(#,##0\)"/>
    <numFmt numFmtId="178" formatCode="0.0_)"/>
    <numFmt numFmtId="179" formatCode="0.0"/>
    <numFmt numFmtId="180" formatCode="0.0%"/>
    <numFmt numFmtId="181" formatCode="#,##0.0"/>
    <numFmt numFmtId="182" formatCode="0.000"/>
    <numFmt numFmtId="183" formatCode="#,##0.0;\-#,##0.0"/>
    <numFmt numFmtId="184" formatCode="0.000%"/>
    <numFmt numFmtId="185" formatCode="#,##0.0;[Red]\-#,##0.0"/>
    <numFmt numFmtId="186" formatCode="#,##0.000;[Red]\-#,##0.000"/>
    <numFmt numFmtId="187" formatCode="#,##0.000"/>
    <numFmt numFmtId="188" formatCode="#,##0.0000"/>
    <numFmt numFmtId="189" formatCode="#,##0\ &quot;kr.&quot;"/>
    <numFmt numFmtId="190" formatCode="00000"/>
    <numFmt numFmtId="191" formatCode="m/d"/>
    <numFmt numFmtId="192" formatCode="m/d/yy"/>
    <numFmt numFmtId="193" formatCode="#,##0.000;\-#,##0.000"/>
    <numFmt numFmtId="194" formatCode="#,##0.0000;\-#,##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47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0"/>
      <color indexed="12"/>
      <name val="Times New Roman"/>
      <family val="0"/>
    </font>
    <font>
      <sz val="10"/>
      <color indexed="12"/>
      <name val="Courier"/>
      <family val="0"/>
    </font>
    <font>
      <b/>
      <sz val="10"/>
      <color indexed="12"/>
      <name val="Times New Roman"/>
      <family val="0"/>
    </font>
    <font>
      <sz val="10"/>
      <color indexed="18"/>
      <name val="Times New Roman"/>
      <family val="0"/>
    </font>
    <font>
      <b/>
      <sz val="10"/>
      <color indexed="18"/>
      <name val="Times New Roman"/>
      <family val="0"/>
    </font>
    <font>
      <sz val="9"/>
      <name val="Times New Roman"/>
      <family val="1"/>
    </font>
    <font>
      <sz val="8"/>
      <name val="Courier"/>
      <family val="0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8"/>
      <name val="Times New Roman"/>
      <family val="1"/>
    </font>
    <font>
      <sz val="10"/>
      <color indexed="10"/>
      <name val="Courier"/>
      <family val="0"/>
    </font>
    <font>
      <b/>
      <sz val="10"/>
      <color indexed="10"/>
      <name val="Times New Roman"/>
      <family val="0"/>
    </font>
    <font>
      <sz val="10"/>
      <color indexed="56"/>
      <name val="Times New Roman"/>
      <family val="1"/>
    </font>
    <font>
      <b/>
      <i/>
      <sz val="10"/>
      <color indexed="18"/>
      <name val="Times New Roman"/>
      <family val="1"/>
    </font>
    <font>
      <b/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0"/>
    </font>
    <font>
      <b/>
      <sz val="9"/>
      <name val="Times New Roman"/>
      <family val="1"/>
    </font>
    <font>
      <sz val="9"/>
      <name val="Courier"/>
      <family val="0"/>
    </font>
    <font>
      <b/>
      <sz val="9"/>
      <color indexed="18"/>
      <name val="Times New Roman"/>
      <family val="0"/>
    </font>
    <font>
      <sz val="9"/>
      <color indexed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color indexed="18"/>
      <name val="Times New Roman"/>
      <family val="1"/>
    </font>
    <font>
      <sz val="9"/>
      <color indexed="18"/>
      <name val="Courier"/>
      <family val="0"/>
    </font>
    <font>
      <sz val="8"/>
      <color indexed="18"/>
      <name val="Times New Roman"/>
      <family val="1"/>
    </font>
    <font>
      <sz val="8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0"/>
    </font>
    <font>
      <u val="single"/>
      <sz val="10"/>
      <name val="Times New Roman"/>
      <family val="1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9" fontId="4" fillId="0" borderId="0" applyFont="0" applyFill="0" applyBorder="0" applyAlignment="0" applyProtection="0"/>
  </cellStyleXfs>
  <cellXfs count="331">
    <xf numFmtId="176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 locked="0"/>
    </xf>
    <xf numFmtId="0" fontId="1" fillId="0" borderId="0" xfId="21" applyFont="1">
      <alignment/>
      <protection/>
    </xf>
    <xf numFmtId="0" fontId="1" fillId="0" borderId="0" xfId="21" applyFont="1" applyAlignment="1">
      <alignment horizontal="right"/>
      <protection/>
    </xf>
    <xf numFmtId="172" fontId="5" fillId="0" borderId="0" xfId="0" applyNumberFormat="1" applyFont="1" applyAlignment="1">
      <alignment/>
    </xf>
    <xf numFmtId="176" fontId="6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6" fontId="0" fillId="0" borderId="0" xfId="0" applyAlignment="1" applyProtection="1">
      <alignment/>
      <protection/>
    </xf>
    <xf numFmtId="172" fontId="8" fillId="2" borderId="0" xfId="0" applyNumberFormat="1" applyFont="1" applyFill="1" applyAlignment="1" applyProtection="1" quotePrefix="1">
      <alignment horizontal="right"/>
      <protection locked="0"/>
    </xf>
    <xf numFmtId="172" fontId="9" fillId="2" borderId="0" xfId="0" applyNumberFormat="1" applyFont="1" applyFill="1" applyAlignment="1" applyProtection="1">
      <alignment horizontal="center"/>
      <protection locked="0"/>
    </xf>
    <xf numFmtId="3" fontId="4" fillId="2" borderId="0" xfId="0" applyNumberFormat="1" applyFont="1" applyFill="1" applyAlignment="1" applyProtection="1">
      <alignment/>
      <protection/>
    </xf>
    <xf numFmtId="176" fontId="0" fillId="2" borderId="0" xfId="0" applyFill="1" applyAlignment="1" applyProtection="1">
      <alignment/>
      <protection/>
    </xf>
    <xf numFmtId="3" fontId="5" fillId="2" borderId="0" xfId="0" applyNumberFormat="1" applyFont="1" applyFill="1" applyAlignment="1" applyProtection="1">
      <alignment horizontal="left"/>
      <protection/>
    </xf>
    <xf numFmtId="3" fontId="7" fillId="2" borderId="0" xfId="0" applyNumberFormat="1" applyFont="1" applyFill="1" applyAlignment="1" applyProtection="1">
      <alignment horizontal="left"/>
      <protection/>
    </xf>
    <xf numFmtId="3" fontId="4" fillId="2" borderId="0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 applyProtection="1">
      <alignment horizontal="left"/>
      <protection/>
    </xf>
    <xf numFmtId="3" fontId="7" fillId="2" borderId="0" xfId="0" applyNumberFormat="1" applyFont="1" applyFill="1" applyBorder="1" applyAlignment="1" applyProtection="1">
      <alignment horizontal="left"/>
      <protection/>
    </xf>
    <xf numFmtId="172" fontId="7" fillId="2" borderId="0" xfId="0" applyNumberFormat="1" applyFont="1" applyFill="1" applyAlignment="1" applyProtection="1">
      <alignment horizontal="center"/>
      <protection/>
    </xf>
    <xf numFmtId="10" fontId="5" fillId="2" borderId="0" xfId="0" applyNumberFormat="1" applyFont="1" applyFill="1" applyAlignment="1" applyProtection="1">
      <alignment horizontal="left"/>
      <protection/>
    </xf>
    <xf numFmtId="3" fontId="6" fillId="2" borderId="0" xfId="0" applyNumberFormat="1" applyFont="1" applyFill="1" applyAlignment="1">
      <alignment/>
    </xf>
    <xf numFmtId="0" fontId="4" fillId="0" borderId="0" xfId="21" applyFont="1" applyAlignment="1">
      <alignment horizontal="right"/>
      <protection/>
    </xf>
    <xf numFmtId="176" fontId="4" fillId="2" borderId="0" xfId="0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77" fontId="4" fillId="2" borderId="0" xfId="0" applyNumberFormat="1" applyFont="1" applyFill="1" applyAlignment="1" applyProtection="1" quotePrefix="1">
      <alignment horizontal="right"/>
      <protection/>
    </xf>
    <xf numFmtId="0" fontId="10" fillId="0" borderId="0" xfId="21" applyFont="1">
      <alignment/>
      <protection/>
    </xf>
    <xf numFmtId="176" fontId="4" fillId="0" borderId="0" xfId="0" applyFont="1" applyAlignment="1">
      <alignment/>
    </xf>
    <xf numFmtId="180" fontId="5" fillId="0" borderId="0" xfId="0" applyNumberFormat="1" applyFont="1" applyAlignment="1">
      <alignment/>
    </xf>
    <xf numFmtId="176" fontId="11" fillId="0" borderId="0" xfId="0" applyFont="1" applyAlignment="1">
      <alignment/>
    </xf>
    <xf numFmtId="3" fontId="12" fillId="0" borderId="0" xfId="0" applyNumberFormat="1" applyFont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 horizontal="center"/>
      <protection/>
    </xf>
    <xf numFmtId="172" fontId="12" fillId="0" borderId="0" xfId="0" applyNumberFormat="1" applyFont="1" applyAlignment="1" applyProtection="1">
      <alignment/>
      <protection/>
    </xf>
    <xf numFmtId="3" fontId="13" fillId="2" borderId="0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Border="1" applyAlignment="1" applyProtection="1">
      <alignment horizontal="left"/>
      <protection/>
    </xf>
    <xf numFmtId="3" fontId="17" fillId="0" borderId="0" xfId="0" applyNumberFormat="1" applyFont="1" applyAlignment="1" applyProtection="1">
      <alignment/>
      <protection locked="0"/>
    </xf>
    <xf numFmtId="3" fontId="4" fillId="2" borderId="0" xfId="0" applyNumberFormat="1" applyFont="1" applyFill="1" applyAlignment="1" applyProtection="1">
      <alignment horizontal="center"/>
      <protection/>
    </xf>
    <xf numFmtId="3" fontId="13" fillId="2" borderId="0" xfId="0" applyNumberFormat="1" applyFont="1" applyFill="1" applyAlignment="1" applyProtection="1">
      <alignment horizontal="right"/>
      <protection/>
    </xf>
    <xf numFmtId="3" fontId="9" fillId="2" borderId="0" xfId="0" applyNumberFormat="1" applyFont="1" applyFill="1" applyAlignment="1" applyProtection="1">
      <alignment horizontal="center"/>
      <protection/>
    </xf>
    <xf numFmtId="172" fontId="9" fillId="2" borderId="0" xfId="0" applyNumberFormat="1" applyFont="1" applyFill="1" applyAlignment="1" applyProtection="1">
      <alignment horizontal="center"/>
      <protection/>
    </xf>
    <xf numFmtId="172" fontId="8" fillId="2" borderId="0" xfId="0" applyNumberFormat="1" applyFont="1" applyFill="1" applyAlignment="1" applyProtection="1" quotePrefix="1">
      <alignment horizontal="center"/>
      <protection/>
    </xf>
    <xf numFmtId="3" fontId="8" fillId="2" borderId="0" xfId="0" applyNumberFormat="1" applyFont="1" applyFill="1" applyAlignment="1" applyProtection="1">
      <alignment/>
      <protection/>
    </xf>
    <xf numFmtId="172" fontId="16" fillId="2" borderId="0" xfId="0" applyNumberFormat="1" applyFont="1" applyFill="1" applyAlignment="1" applyProtection="1">
      <alignment horizontal="center"/>
      <protection/>
    </xf>
    <xf numFmtId="3" fontId="8" fillId="2" borderId="0" xfId="0" applyNumberFormat="1" applyFont="1" applyFill="1" applyAlignment="1" applyProtection="1">
      <alignment horizontal="left"/>
      <protection/>
    </xf>
    <xf numFmtId="49" fontId="8" fillId="2" borderId="0" xfId="0" applyNumberFormat="1" applyFont="1" applyFill="1" applyAlignment="1" applyProtection="1">
      <alignment horizontal="center"/>
      <protection/>
    </xf>
    <xf numFmtId="172" fontId="15" fillId="0" borderId="0" xfId="0" applyNumberFormat="1" applyFont="1" applyAlignment="1" applyProtection="1">
      <alignment/>
      <protection/>
    </xf>
    <xf numFmtId="3" fontId="9" fillId="2" borderId="0" xfId="0" applyNumberFormat="1" applyFont="1" applyFill="1" applyAlignment="1" applyProtection="1">
      <alignment horizontal="left"/>
      <protection/>
    </xf>
    <xf numFmtId="3" fontId="14" fillId="2" borderId="0" xfId="0" applyNumberFormat="1" applyFont="1" applyFill="1" applyAlignment="1" applyProtection="1">
      <alignment horizontal="right"/>
      <protection/>
    </xf>
    <xf numFmtId="3" fontId="8" fillId="2" borderId="0" xfId="0" applyNumberFormat="1" applyFont="1" applyFill="1" applyAlignment="1" applyProtection="1">
      <alignment horizontal="left"/>
      <protection/>
    </xf>
    <xf numFmtId="3" fontId="8" fillId="2" borderId="0" xfId="0" applyNumberFormat="1" applyFont="1" applyFill="1" applyAlignment="1" applyProtection="1">
      <alignment/>
      <protection/>
    </xf>
    <xf numFmtId="3" fontId="9" fillId="2" borderId="0" xfId="0" applyNumberFormat="1" applyFont="1" applyFill="1" applyAlignment="1" applyProtection="1">
      <alignment horizontal="left"/>
      <protection/>
    </xf>
    <xf numFmtId="3" fontId="9" fillId="2" borderId="0" xfId="0" applyNumberFormat="1" applyFont="1" applyFill="1" applyAlignment="1" applyProtection="1">
      <alignment/>
      <protection/>
    </xf>
    <xf numFmtId="3" fontId="18" fillId="2" borderId="0" xfId="0" applyNumberFormat="1" applyFont="1" applyFill="1" applyAlignment="1" applyProtection="1">
      <alignment horizontal="right"/>
      <protection/>
    </xf>
    <xf numFmtId="3" fontId="1" fillId="0" borderId="0" xfId="21" applyNumberFormat="1" applyFont="1" applyAlignment="1" applyProtection="1">
      <alignment horizontal="right"/>
      <protection/>
    </xf>
    <xf numFmtId="0" fontId="1" fillId="0" borderId="0" xfId="21" applyFont="1" applyProtection="1">
      <alignment/>
      <protection/>
    </xf>
    <xf numFmtId="0" fontId="1" fillId="0" borderId="0" xfId="21" applyFont="1" applyAlignment="1" applyProtection="1">
      <alignment horizontal="center"/>
      <protection/>
    </xf>
    <xf numFmtId="3" fontId="1" fillId="0" borderId="0" xfId="21" applyNumberFormat="1" applyFont="1" applyAlignment="1" applyProtection="1" quotePrefix="1">
      <alignment horizontal="right"/>
      <protection/>
    </xf>
    <xf numFmtId="0" fontId="1" fillId="0" borderId="0" xfId="21" applyNumberFormat="1" applyFont="1" applyAlignment="1" applyProtection="1">
      <alignment horizontal="center"/>
      <protection/>
    </xf>
    <xf numFmtId="0" fontId="4" fillId="0" borderId="0" xfId="21" applyFont="1" applyAlignment="1" applyProtection="1">
      <alignment horizontal="right"/>
      <protection/>
    </xf>
    <xf numFmtId="176" fontId="6" fillId="0" borderId="0" xfId="0" applyFont="1" applyAlignment="1" applyProtection="1">
      <alignment/>
      <protection/>
    </xf>
    <xf numFmtId="3" fontId="5" fillId="2" borderId="0" xfId="0" applyNumberFormat="1" applyFont="1" applyFill="1" applyAlignment="1" applyProtection="1">
      <alignment/>
      <protection/>
    </xf>
    <xf numFmtId="172" fontId="5" fillId="2" borderId="0" xfId="0" applyNumberFormat="1" applyFont="1" applyFill="1" applyAlignment="1" applyProtection="1">
      <alignment horizontal="center"/>
      <protection/>
    </xf>
    <xf numFmtId="172" fontId="5" fillId="2" borderId="0" xfId="0" applyNumberFormat="1" applyFont="1" applyFill="1" applyAlignment="1" applyProtection="1">
      <alignment horizontal="left"/>
      <protection/>
    </xf>
    <xf numFmtId="172" fontId="7" fillId="2" borderId="0" xfId="0" applyNumberFormat="1" applyFont="1" applyFill="1" applyAlignment="1" applyProtection="1">
      <alignment/>
      <protection/>
    </xf>
    <xf numFmtId="172" fontId="7" fillId="2" borderId="0" xfId="0" applyNumberFormat="1" applyFont="1" applyFill="1" applyAlignment="1" applyProtection="1">
      <alignment/>
      <protection/>
    </xf>
    <xf numFmtId="172" fontId="7" fillId="2" borderId="0" xfId="0" applyNumberFormat="1" applyFont="1" applyFill="1" applyAlignment="1" applyProtection="1">
      <alignment horizontal="left"/>
      <protection/>
    </xf>
    <xf numFmtId="3" fontId="7" fillId="2" borderId="0" xfId="0" applyNumberFormat="1" applyFont="1" applyFill="1" applyAlignment="1" applyProtection="1">
      <alignment/>
      <protection/>
    </xf>
    <xf numFmtId="3" fontId="19" fillId="2" borderId="0" xfId="0" applyNumberFormat="1" applyFont="1" applyFill="1" applyAlignment="1" applyProtection="1">
      <alignment horizontal="left"/>
      <protection/>
    </xf>
    <xf numFmtId="3" fontId="20" fillId="2" borderId="0" xfId="0" applyNumberFormat="1" applyFont="1" applyFill="1" applyAlignment="1" applyProtection="1">
      <alignment/>
      <protection/>
    </xf>
    <xf numFmtId="176" fontId="4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left"/>
      <protection/>
    </xf>
    <xf numFmtId="3" fontId="9" fillId="2" borderId="0" xfId="0" applyNumberFormat="1" applyFont="1" applyFill="1" applyAlignment="1" applyProtection="1">
      <alignment horizontal="right"/>
      <protection/>
    </xf>
    <xf numFmtId="3" fontId="20" fillId="2" borderId="0" xfId="0" applyNumberFormat="1" applyFont="1" applyFill="1" applyAlignment="1" applyProtection="1">
      <alignment horizontal="left"/>
      <protection/>
    </xf>
    <xf numFmtId="3" fontId="19" fillId="2" borderId="0" xfId="0" applyNumberFormat="1" applyFont="1" applyFill="1" applyAlignment="1" applyProtection="1">
      <alignment horizontal="right"/>
      <protection/>
    </xf>
    <xf numFmtId="3" fontId="7" fillId="2" borderId="0" xfId="0" applyNumberFormat="1" applyFont="1" applyFill="1" applyAlignment="1" applyProtection="1">
      <alignment/>
      <protection/>
    </xf>
    <xf numFmtId="3" fontId="21" fillId="2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0" fontId="4" fillId="0" borderId="0" xfId="21" applyFont="1" applyProtection="1">
      <alignment/>
      <protection/>
    </xf>
    <xf numFmtId="3" fontId="5" fillId="0" borderId="0" xfId="0" applyNumberFormat="1" applyFont="1" applyFill="1" applyAlignment="1" applyProtection="1">
      <alignment/>
      <protection locked="0"/>
    </xf>
    <xf numFmtId="176" fontId="0" fillId="0" borderId="0" xfId="0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 applyProtection="1">
      <alignment/>
      <protection/>
    </xf>
    <xf numFmtId="176" fontId="6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10" fontId="5" fillId="0" borderId="0" xfId="0" applyNumberFormat="1" applyFont="1" applyFill="1" applyAlignment="1" applyProtection="1">
      <alignment/>
      <protection locked="0"/>
    </xf>
    <xf numFmtId="176" fontId="6" fillId="0" borderId="0" xfId="0" applyFont="1" applyFill="1" applyAlignment="1" applyProtection="1">
      <alignment/>
      <protection/>
    </xf>
    <xf numFmtId="176" fontId="1" fillId="2" borderId="0" xfId="0" applyFon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76" fontId="4" fillId="0" borderId="0" xfId="0" applyFont="1" applyFill="1" applyAlignment="1" applyProtection="1">
      <alignment/>
      <protection/>
    </xf>
    <xf numFmtId="3" fontId="22" fillId="0" borderId="0" xfId="0" applyNumberFormat="1" applyFont="1" applyAlignment="1" applyProtection="1">
      <alignment horizontal="left"/>
      <protection/>
    </xf>
    <xf numFmtId="176" fontId="23" fillId="0" borderId="0" xfId="0" applyFont="1" applyAlignment="1">
      <alignment/>
    </xf>
    <xf numFmtId="3" fontId="10" fillId="0" borderId="0" xfId="0" applyNumberFormat="1" applyFont="1" applyAlignment="1" applyProtection="1">
      <alignment horizontal="left"/>
      <protection/>
    </xf>
    <xf numFmtId="3" fontId="10" fillId="0" borderId="0" xfId="0" applyNumberFormat="1" applyFont="1" applyFill="1" applyAlignment="1" applyProtection="1">
      <alignment horizontal="left"/>
      <protection/>
    </xf>
    <xf numFmtId="3" fontId="24" fillId="2" borderId="0" xfId="0" applyNumberFormat="1" applyFont="1" applyFill="1" applyAlignment="1" applyProtection="1">
      <alignment horizontal="right"/>
      <protection/>
    </xf>
    <xf numFmtId="3" fontId="2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 horizontal="right"/>
      <protection/>
    </xf>
    <xf numFmtId="3" fontId="25" fillId="0" borderId="0" xfId="0" applyNumberFormat="1" applyFont="1" applyBorder="1" applyAlignment="1" applyProtection="1">
      <alignment horizontal="right"/>
      <protection/>
    </xf>
    <xf numFmtId="3" fontId="12" fillId="0" borderId="0" xfId="0" applyNumberFormat="1" applyFont="1" applyBorder="1" applyAlignment="1" applyProtection="1">
      <alignment/>
      <protection/>
    </xf>
    <xf numFmtId="0" fontId="10" fillId="0" borderId="0" xfId="21" applyFont="1" applyFill="1" applyAlignment="1" applyProtection="1">
      <alignment horizontal="right"/>
      <protection/>
    </xf>
    <xf numFmtId="0" fontId="10" fillId="0" borderId="0" xfId="21" applyFont="1" applyAlignment="1" applyProtection="1">
      <alignment horizontal="right"/>
      <protection/>
    </xf>
    <xf numFmtId="0" fontId="10" fillId="0" borderId="0" xfId="21" applyFont="1" applyProtection="1">
      <alignment/>
      <protection/>
    </xf>
    <xf numFmtId="0" fontId="10" fillId="0" borderId="0" xfId="21" applyFont="1" applyAlignment="1">
      <alignment horizontal="right"/>
      <protection/>
    </xf>
    <xf numFmtId="0" fontId="10" fillId="0" borderId="0" xfId="21" applyFont="1">
      <alignment/>
      <protection/>
    </xf>
    <xf numFmtId="0" fontId="26" fillId="0" borderId="0" xfId="21" applyFont="1" applyFill="1" applyAlignment="1">
      <alignment horizontal="left"/>
      <protection/>
    </xf>
    <xf numFmtId="3" fontId="4" fillId="0" borderId="0" xfId="0" applyNumberFormat="1" applyFont="1" applyAlignment="1">
      <alignment/>
    </xf>
    <xf numFmtId="3" fontId="12" fillId="3" borderId="0" xfId="0" applyNumberFormat="1" applyFont="1" applyFill="1" applyAlignment="1" applyProtection="1">
      <alignment/>
      <protection/>
    </xf>
    <xf numFmtId="176" fontId="0" fillId="0" borderId="0" xfId="0" applyFont="1" applyAlignment="1">
      <alignment/>
    </xf>
    <xf numFmtId="3" fontId="8" fillId="2" borderId="0" xfId="0" applyNumberFormat="1" applyFont="1" applyFill="1" applyAlignment="1" applyProtection="1">
      <alignment horizontal="center"/>
      <protection/>
    </xf>
    <xf numFmtId="3" fontId="5" fillId="4" borderId="0" xfId="0" applyNumberFormat="1" applyFont="1" applyFill="1" applyAlignment="1" applyProtection="1">
      <alignment/>
      <protection locked="0"/>
    </xf>
    <xf numFmtId="3" fontId="17" fillId="4" borderId="0" xfId="0" applyNumberFormat="1" applyFont="1" applyFill="1" applyAlignment="1" applyProtection="1">
      <alignment/>
      <protection locked="0"/>
    </xf>
    <xf numFmtId="3" fontId="4" fillId="3" borderId="0" xfId="0" applyNumberFormat="1" applyFont="1" applyFill="1" applyAlignment="1">
      <alignment/>
    </xf>
    <xf numFmtId="3" fontId="4" fillId="4" borderId="0" xfId="0" applyNumberFormat="1" applyFont="1" applyFill="1" applyAlignment="1">
      <alignment/>
    </xf>
    <xf numFmtId="3" fontId="12" fillId="4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/>
      <protection/>
    </xf>
    <xf numFmtId="180" fontId="9" fillId="2" borderId="0" xfId="23" applyNumberFormat="1" applyFont="1" applyFill="1" applyAlignment="1" applyProtection="1">
      <alignment horizontal="left"/>
      <protection/>
    </xf>
    <xf numFmtId="180" fontId="29" fillId="0" borderId="0" xfId="23" applyNumberFormat="1" applyFont="1" applyBorder="1" applyAlignment="1" applyProtection="1">
      <alignment horizontal="right"/>
      <protection/>
    </xf>
    <xf numFmtId="180" fontId="29" fillId="0" borderId="0" xfId="23" applyNumberFormat="1" applyFont="1" applyAlignment="1" applyProtection="1">
      <alignment/>
      <protection/>
    </xf>
    <xf numFmtId="180" fontId="29" fillId="0" borderId="0" xfId="23" applyNumberFormat="1" applyFont="1" applyAlignment="1" applyProtection="1">
      <alignment horizontal="right"/>
      <protection/>
    </xf>
    <xf numFmtId="180" fontId="30" fillId="0" borderId="0" xfId="23" applyNumberFormat="1" applyFont="1" applyAlignment="1">
      <alignment/>
    </xf>
    <xf numFmtId="3" fontId="9" fillId="2" borderId="0" xfId="23" applyNumberFormat="1" applyFont="1" applyFill="1" applyAlignment="1" applyProtection="1">
      <alignment horizontal="left"/>
      <protection/>
    </xf>
    <xf numFmtId="3" fontId="29" fillId="0" borderId="0" xfId="15" applyNumberFormat="1" applyFont="1" applyBorder="1" applyAlignment="1" applyProtection="1">
      <alignment horizontal="right"/>
      <protection/>
    </xf>
    <xf numFmtId="3" fontId="29" fillId="0" borderId="0" xfId="23" applyNumberFormat="1" applyFont="1" applyAlignment="1" applyProtection="1">
      <alignment/>
      <protection/>
    </xf>
    <xf numFmtId="3" fontId="29" fillId="0" borderId="0" xfId="23" applyNumberFormat="1" applyFont="1" applyAlignment="1" applyProtection="1">
      <alignment horizontal="right"/>
      <protection/>
    </xf>
    <xf numFmtId="3" fontId="30" fillId="0" borderId="0" xfId="23" applyNumberFormat="1" applyFont="1" applyAlignment="1">
      <alignment/>
    </xf>
    <xf numFmtId="3" fontId="29" fillId="3" borderId="0" xfId="23" applyNumberFormat="1" applyFont="1" applyFill="1" applyAlignment="1" applyProtection="1">
      <alignment/>
      <protection/>
    </xf>
    <xf numFmtId="180" fontId="29" fillId="3" borderId="0" xfId="23" applyNumberFormat="1" applyFont="1" applyFill="1" applyAlignment="1" applyProtection="1">
      <alignment/>
      <protection/>
    </xf>
    <xf numFmtId="3" fontId="8" fillId="0" borderId="0" xfId="15" applyNumberFormat="1" applyFont="1" applyBorder="1" applyAlignment="1" applyProtection="1">
      <alignment horizontal="right"/>
      <protection/>
    </xf>
    <xf numFmtId="3" fontId="8" fillId="3" borderId="0" xfId="23" applyNumberFormat="1" applyFont="1" applyFill="1" applyAlignment="1" applyProtection="1">
      <alignment/>
      <protection/>
    </xf>
    <xf numFmtId="3" fontId="8" fillId="0" borderId="0" xfId="23" applyNumberFormat="1" applyFont="1" applyAlignment="1" applyProtection="1">
      <alignment horizontal="right"/>
      <protection/>
    </xf>
    <xf numFmtId="3" fontId="8" fillId="0" borderId="0" xfId="23" applyNumberFormat="1" applyFont="1" applyAlignment="1" applyProtection="1">
      <alignment/>
      <protection/>
    </xf>
    <xf numFmtId="3" fontId="8" fillId="3" borderId="0" xfId="23" applyNumberFormat="1" applyFont="1" applyFill="1" applyAlignment="1">
      <alignment/>
    </xf>
    <xf numFmtId="3" fontId="8" fillId="0" borderId="0" xfId="23" applyNumberFormat="1" applyFont="1" applyAlignment="1">
      <alignment/>
    </xf>
    <xf numFmtId="3" fontId="29" fillId="3" borderId="0" xfId="15" applyNumberFormat="1" applyFont="1" applyFill="1" applyBorder="1" applyAlignment="1" applyProtection="1">
      <alignment horizontal="right"/>
      <protection/>
    </xf>
    <xf numFmtId="3" fontId="29" fillId="0" borderId="0" xfId="0" applyNumberFormat="1" applyFont="1" applyAlignment="1" applyProtection="1">
      <alignment/>
      <protection/>
    </xf>
    <xf numFmtId="176" fontId="29" fillId="0" borderId="0" xfId="0" applyFont="1" applyAlignment="1">
      <alignment/>
    </xf>
    <xf numFmtId="3" fontId="25" fillId="0" borderId="0" xfId="0" applyNumberFormat="1" applyFont="1" applyFill="1" applyAlignment="1" applyProtection="1">
      <alignment/>
      <protection/>
    </xf>
    <xf numFmtId="3" fontId="8" fillId="0" borderId="0" xfId="23" applyNumberFormat="1" applyFont="1" applyFill="1" applyAlignment="1" applyProtection="1">
      <alignment/>
      <protection/>
    </xf>
    <xf numFmtId="3" fontId="29" fillId="0" borderId="0" xfId="15" applyNumberFormat="1" applyFont="1" applyFill="1" applyBorder="1" applyAlignment="1" applyProtection="1">
      <alignment horizontal="right"/>
      <protection/>
    </xf>
    <xf numFmtId="180" fontId="29" fillId="0" borderId="0" xfId="23" applyNumberFormat="1" applyFont="1" applyFill="1" applyAlignment="1" applyProtection="1">
      <alignment/>
      <protection/>
    </xf>
    <xf numFmtId="180" fontId="29" fillId="3" borderId="0" xfId="23" applyNumberFormat="1" applyFont="1" applyFill="1" applyAlignment="1" applyProtection="1">
      <alignment horizontal="right"/>
      <protection/>
    </xf>
    <xf numFmtId="3" fontId="29" fillId="0" borderId="0" xfId="23" applyNumberFormat="1" applyFont="1" applyFill="1" applyAlignment="1" applyProtection="1">
      <alignment/>
      <protection/>
    </xf>
    <xf numFmtId="3" fontId="10" fillId="0" borderId="0" xfId="0" applyNumberFormat="1" applyFont="1" applyAlignment="1" applyProtection="1">
      <alignment horizontal="right"/>
      <protection/>
    </xf>
    <xf numFmtId="180" fontId="29" fillId="0" borderId="0" xfId="23" applyNumberFormat="1" applyFont="1" applyFill="1" applyAlignment="1" applyProtection="1">
      <alignment horizontal="right"/>
      <protection/>
    </xf>
    <xf numFmtId="180" fontId="31" fillId="0" borderId="0" xfId="23" applyNumberFormat="1" applyFont="1" applyAlignment="1" applyProtection="1">
      <alignment/>
      <protection/>
    </xf>
    <xf numFmtId="176" fontId="32" fillId="0" borderId="0" xfId="0" applyFont="1" applyAlignment="1">
      <alignment/>
    </xf>
    <xf numFmtId="0" fontId="3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0" fontId="32" fillId="0" borderId="0" xfId="0" applyNumberFormat="1" applyFont="1" applyAlignment="1">
      <alignment wrapText="1"/>
    </xf>
    <xf numFmtId="3" fontId="32" fillId="0" borderId="0" xfId="0" applyNumberFormat="1" applyFont="1" applyAlignment="1">
      <alignment wrapText="1"/>
    </xf>
    <xf numFmtId="3" fontId="35" fillId="0" borderId="0" xfId="22" applyNumberFormat="1" applyFont="1" applyFill="1" applyBorder="1" applyAlignment="1">
      <alignment horizontal="left"/>
      <protection/>
    </xf>
    <xf numFmtId="3" fontId="35" fillId="0" borderId="0" xfId="22" applyNumberFormat="1" applyFont="1" applyFill="1" applyBorder="1" applyAlignment="1">
      <alignment horizontal="right" wrapText="1"/>
      <protection/>
    </xf>
    <xf numFmtId="3" fontId="34" fillId="0" borderId="0" xfId="0" applyNumberFormat="1" applyFont="1" applyAlignment="1">
      <alignment/>
    </xf>
    <xf numFmtId="3" fontId="35" fillId="0" borderId="1" xfId="22" applyNumberFormat="1" applyFont="1" applyFill="1" applyBorder="1" applyAlignment="1">
      <alignment horizontal="right" wrapText="1"/>
      <protection/>
    </xf>
    <xf numFmtId="3" fontId="35" fillId="0" borderId="2" xfId="22" applyNumberFormat="1" applyFont="1" applyFill="1" applyBorder="1" applyAlignment="1">
      <alignment horizontal="right" wrapText="1"/>
      <protection/>
    </xf>
    <xf numFmtId="3" fontId="0" fillId="0" borderId="0" xfId="0" applyNumberFormat="1" applyFill="1" applyAlignment="1">
      <alignment/>
    </xf>
    <xf numFmtId="172" fontId="8" fillId="2" borderId="0" xfId="0" applyNumberFormat="1" applyFont="1" applyFill="1" applyAlignment="1" applyProtection="1">
      <alignment horizontal="center"/>
      <protection/>
    </xf>
    <xf numFmtId="172" fontId="8" fillId="2" borderId="0" xfId="0" applyNumberFormat="1" applyFont="1" applyFill="1" applyAlignment="1" applyProtection="1">
      <alignment/>
      <protection/>
    </xf>
    <xf numFmtId="3" fontId="4" fillId="2" borderId="0" xfId="0" applyNumberFormat="1" applyFont="1" applyFill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left"/>
      <protection/>
    </xf>
    <xf numFmtId="3" fontId="26" fillId="0" borderId="0" xfId="0" applyNumberFormat="1" applyFont="1" applyFill="1" applyAlignment="1" applyProtection="1">
      <alignment horizontal="left"/>
      <protection/>
    </xf>
    <xf numFmtId="3" fontId="26" fillId="0" borderId="0" xfId="0" applyNumberFormat="1" applyFont="1" applyAlignment="1" applyProtection="1">
      <alignment/>
      <protection/>
    </xf>
    <xf numFmtId="176" fontId="11" fillId="0" borderId="0" xfId="0" applyFont="1" applyAlignment="1" applyProtection="1">
      <alignment/>
      <protection/>
    </xf>
    <xf numFmtId="176" fontId="11" fillId="0" borderId="0" xfId="0" applyFont="1" applyFill="1" applyAlignment="1" applyProtection="1">
      <alignment/>
      <protection/>
    </xf>
    <xf numFmtId="176" fontId="26" fillId="0" borderId="0" xfId="0" applyFont="1" applyFill="1" applyAlignment="1" applyProtection="1">
      <alignment/>
      <protection/>
    </xf>
    <xf numFmtId="172" fontId="4" fillId="0" borderId="0" xfId="0" applyNumberFormat="1" applyFont="1" applyFill="1" applyAlignment="1" applyProtection="1">
      <alignment/>
      <protection/>
    </xf>
    <xf numFmtId="0" fontId="4" fillId="0" borderId="0" xfId="21" applyFont="1" applyAlignment="1" applyProtection="1">
      <alignment horizontal="right"/>
      <protection/>
    </xf>
    <xf numFmtId="0" fontId="4" fillId="0" borderId="0" xfId="21" applyFont="1" applyProtection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176" fontId="38" fillId="0" borderId="0" xfId="0" applyFont="1" applyAlignment="1">
      <alignment/>
    </xf>
    <xf numFmtId="176" fontId="1" fillId="0" borderId="0" xfId="0" applyFont="1" applyAlignment="1">
      <alignment horizontal="left"/>
    </xf>
    <xf numFmtId="3" fontId="39" fillId="0" borderId="0" xfId="0" applyNumberFormat="1" applyFont="1" applyAlignment="1" applyProtection="1">
      <alignment horizontal="left"/>
      <protection/>
    </xf>
    <xf numFmtId="0" fontId="40" fillId="0" borderId="0" xfId="21" applyFont="1" applyAlignment="1" applyProtection="1">
      <alignment horizontal="center"/>
      <protection/>
    </xf>
    <xf numFmtId="0" fontId="10" fillId="0" borderId="0" xfId="21" applyFont="1" applyAlignment="1" applyProtection="1">
      <alignment horizontal="right"/>
      <protection/>
    </xf>
    <xf numFmtId="0" fontId="10" fillId="0" borderId="0" xfId="21" applyFont="1" applyAlignment="1">
      <alignment horizontal="right"/>
      <protection/>
    </xf>
    <xf numFmtId="176" fontId="41" fillId="0" borderId="0" xfId="0" applyFont="1" applyAlignment="1">
      <alignment/>
    </xf>
    <xf numFmtId="3" fontId="4" fillId="2" borderId="0" xfId="0" applyNumberFormat="1" applyFon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 horizontal="center"/>
      <protection/>
    </xf>
    <xf numFmtId="3" fontId="39" fillId="2" borderId="0" xfId="0" applyNumberFormat="1" applyFont="1" applyFill="1" applyAlignment="1" applyProtection="1">
      <alignment horizontal="center"/>
      <protection/>
    </xf>
    <xf numFmtId="172" fontId="1" fillId="2" borderId="0" xfId="0" applyNumberFormat="1" applyFont="1" applyFill="1" applyAlignment="1" applyProtection="1">
      <alignment horizontal="center"/>
      <protection/>
    </xf>
    <xf numFmtId="3" fontId="4" fillId="2" borderId="0" xfId="0" applyNumberFormat="1" applyFont="1" applyFill="1" applyAlignment="1" applyProtection="1">
      <alignment horizontal="left"/>
      <protection/>
    </xf>
    <xf numFmtId="3" fontId="26" fillId="2" borderId="0" xfId="0" applyNumberFormat="1" applyFont="1" applyFill="1" applyAlignment="1" applyProtection="1">
      <alignment horizontal="center"/>
      <protection/>
    </xf>
    <xf numFmtId="49" fontId="4" fillId="2" borderId="0" xfId="0" applyNumberFormat="1" applyFont="1" applyFill="1" applyAlignment="1" applyProtection="1">
      <alignment horizontal="center"/>
      <protection/>
    </xf>
    <xf numFmtId="172" fontId="4" fillId="2" borderId="0" xfId="0" applyNumberFormat="1" applyFont="1" applyFill="1" applyAlignment="1" applyProtection="1" quotePrefix="1">
      <alignment horizontal="center"/>
      <protection/>
    </xf>
    <xf numFmtId="172" fontId="26" fillId="2" borderId="0" xfId="0" applyNumberFormat="1" applyFont="1" applyFill="1" applyAlignment="1" applyProtection="1">
      <alignment horizontal="center"/>
      <protection/>
    </xf>
    <xf numFmtId="172" fontId="4" fillId="2" borderId="0" xfId="0" applyNumberFormat="1" applyFont="1" applyFill="1" applyAlignment="1" applyProtection="1">
      <alignment horizontal="center"/>
      <protection/>
    </xf>
    <xf numFmtId="3" fontId="1" fillId="2" borderId="0" xfId="0" applyNumberFormat="1" applyFont="1" applyFill="1" applyAlignment="1" applyProtection="1">
      <alignment horizontal="left"/>
      <protection/>
    </xf>
    <xf numFmtId="172" fontId="0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 locked="0"/>
    </xf>
    <xf numFmtId="3" fontId="26" fillId="0" borderId="0" xfId="0" applyNumberFormat="1" applyFont="1" applyAlignment="1" applyProtection="1">
      <alignment/>
      <protection locked="0"/>
    </xf>
    <xf numFmtId="176" fontId="0" fillId="0" borderId="0" xfId="0" applyFont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1" fillId="2" borderId="0" xfId="0" applyNumberFormat="1" applyFont="1" applyFill="1" applyAlignment="1" applyProtection="1">
      <alignment horizontal="left"/>
      <protection/>
    </xf>
    <xf numFmtId="181" fontId="4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 horizontal="center"/>
      <protection/>
    </xf>
    <xf numFmtId="3" fontId="39" fillId="0" borderId="0" xfId="0" applyNumberFormat="1" applyFont="1" applyFill="1" applyAlignment="1" applyProtection="1">
      <alignment horizontal="center"/>
      <protection/>
    </xf>
    <xf numFmtId="172" fontId="1" fillId="0" borderId="0" xfId="0" applyNumberFormat="1" applyFont="1" applyFill="1" applyAlignment="1" applyProtection="1">
      <alignment horizontal="center"/>
      <protection/>
    </xf>
    <xf numFmtId="176" fontId="0" fillId="0" borderId="0" xfId="0" applyFont="1" applyFill="1" applyAlignment="1">
      <alignment/>
    </xf>
    <xf numFmtId="176" fontId="11" fillId="0" borderId="0" xfId="0" applyFont="1" applyFill="1" applyAlignment="1">
      <alignment/>
    </xf>
    <xf numFmtId="3" fontId="26" fillId="0" borderId="0" xfId="0" applyNumberFormat="1" applyFont="1" applyFill="1" applyAlignment="1" applyProtection="1">
      <alignment horizontal="center"/>
      <protection/>
    </xf>
    <xf numFmtId="172" fontId="4" fillId="0" borderId="0" xfId="0" applyNumberFormat="1" applyFont="1" applyFill="1" applyAlignment="1" applyProtection="1" quotePrefix="1">
      <alignment horizontal="center"/>
      <protection/>
    </xf>
    <xf numFmtId="172" fontId="26" fillId="0" borderId="0" xfId="0" applyNumberFormat="1" applyFont="1" applyFill="1" applyAlignment="1" applyProtection="1">
      <alignment horizontal="center"/>
      <protection/>
    </xf>
    <xf numFmtId="172" fontId="4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172" fontId="0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 locked="0"/>
    </xf>
    <xf numFmtId="176" fontId="0" fillId="0" borderId="0" xfId="0" applyFont="1" applyFill="1" applyAlignment="1">
      <alignment/>
    </xf>
    <xf numFmtId="176" fontId="23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3" fontId="4" fillId="0" borderId="0" xfId="21" applyNumberFormat="1" applyFont="1" applyProtection="1">
      <alignment/>
      <protection/>
    </xf>
    <xf numFmtId="0" fontId="4" fillId="0" borderId="0" xfId="21" applyFont="1">
      <alignment/>
      <protection/>
    </xf>
    <xf numFmtId="3" fontId="4" fillId="0" borderId="0" xfId="21" applyNumberFormat="1" applyFont="1" applyAlignment="1" applyProtection="1">
      <alignment horizontal="right"/>
      <protection/>
    </xf>
    <xf numFmtId="0" fontId="4" fillId="0" borderId="0" xfId="21" applyFont="1" applyAlignment="1" applyProtection="1">
      <alignment horizontal="center"/>
      <protection/>
    </xf>
    <xf numFmtId="3" fontId="4" fillId="0" borderId="0" xfId="21" applyNumberFormat="1" applyFont="1">
      <alignment/>
      <protection/>
    </xf>
    <xf numFmtId="180" fontId="4" fillId="0" borderId="0" xfId="23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3" xfId="21" applyNumberFormat="1" applyFont="1" applyBorder="1">
      <alignment/>
      <protection/>
    </xf>
    <xf numFmtId="3" fontId="4" fillId="0" borderId="3" xfId="0" applyNumberFormat="1" applyFont="1" applyBorder="1" applyAlignment="1" applyProtection="1">
      <alignment/>
      <protection/>
    </xf>
    <xf numFmtId="180" fontId="4" fillId="0" borderId="3" xfId="23" applyNumberFormat="1" applyFont="1" applyBorder="1" applyAlignment="1" applyProtection="1">
      <alignment/>
      <protection/>
    </xf>
    <xf numFmtId="180" fontId="4" fillId="0" borderId="0" xfId="23" applyNumberFormat="1" applyFont="1" applyBorder="1" applyAlignment="1" applyProtection="1">
      <alignment/>
      <protection/>
    </xf>
    <xf numFmtId="180" fontId="4" fillId="0" borderId="0" xfId="21" applyNumberFormat="1" applyFont="1">
      <alignment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0" fillId="0" borderId="3" xfId="0" applyNumberFormat="1" applyFont="1" applyBorder="1" applyAlignment="1" applyProtection="1">
      <alignment/>
      <protection/>
    </xf>
    <xf numFmtId="3" fontId="4" fillId="0" borderId="4" xfId="0" applyNumberFormat="1" applyFont="1" applyBorder="1" applyAlignment="1" applyProtection="1">
      <alignment/>
      <protection/>
    </xf>
    <xf numFmtId="176" fontId="0" fillId="0" borderId="0" xfId="0" applyFont="1" applyBorder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3" fontId="39" fillId="2" borderId="0" xfId="0" applyNumberFormat="1" applyFont="1" applyFill="1" applyAlignment="1" applyProtection="1">
      <alignment horizontal="center"/>
      <protection/>
    </xf>
    <xf numFmtId="3" fontId="26" fillId="2" borderId="0" xfId="0" applyNumberFormat="1" applyFont="1" applyFill="1" applyAlignment="1" applyProtection="1">
      <alignment horizontal="center"/>
      <protection/>
    </xf>
    <xf numFmtId="3" fontId="39" fillId="0" borderId="0" xfId="0" applyNumberFormat="1" applyFont="1" applyFill="1" applyAlignment="1" applyProtection="1">
      <alignment horizontal="center"/>
      <protection/>
    </xf>
    <xf numFmtId="3" fontId="26" fillId="0" borderId="0" xfId="0" applyNumberFormat="1" applyFont="1" applyFill="1" applyAlignment="1" applyProtection="1">
      <alignment horizontal="center"/>
      <protection/>
    </xf>
    <xf numFmtId="172" fontId="39" fillId="0" borderId="0" xfId="0" applyNumberFormat="1" applyFont="1" applyFill="1" applyAlignment="1" applyProtection="1">
      <alignment horizontal="center"/>
      <protection/>
    </xf>
    <xf numFmtId="172" fontId="1" fillId="2" borderId="0" xfId="0" applyNumberFormat="1" applyFont="1" applyFill="1" applyAlignment="1" applyProtection="1">
      <alignment horizontal="center"/>
      <protection locked="0"/>
    </xf>
    <xf numFmtId="172" fontId="4" fillId="2" borderId="0" xfId="0" applyNumberFormat="1" applyFont="1" applyFill="1" applyAlignment="1" applyProtection="1" quotePrefix="1">
      <alignment horizontal="center"/>
      <protection locked="0"/>
    </xf>
    <xf numFmtId="180" fontId="4" fillId="0" borderId="0" xfId="0" applyNumberFormat="1" applyFont="1" applyAlignment="1" applyProtection="1">
      <alignment/>
      <protection locked="0"/>
    </xf>
    <xf numFmtId="180" fontId="26" fillId="0" borderId="0" xfId="0" applyNumberFormat="1" applyFont="1" applyAlignment="1" applyProtection="1">
      <alignment/>
      <protection locked="0"/>
    </xf>
    <xf numFmtId="180" fontId="26" fillId="0" borderId="0" xfId="0" applyNumberFormat="1" applyFont="1" applyAlignment="1" applyProtection="1">
      <alignment wrapText="1"/>
      <protection locked="0"/>
    </xf>
    <xf numFmtId="180" fontId="26" fillId="0" borderId="0" xfId="0" applyNumberFormat="1" applyFont="1" applyAlignment="1" applyProtection="1">
      <alignment horizontal="right"/>
      <protection locked="0"/>
    </xf>
    <xf numFmtId="180" fontId="26" fillId="0" borderId="0" xfId="0" applyNumberFormat="1" applyFont="1" applyFill="1" applyAlignment="1" applyProtection="1">
      <alignment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Fill="1" applyAlignment="1" applyProtection="1">
      <alignment/>
      <protection locked="0"/>
    </xf>
    <xf numFmtId="180" fontId="4" fillId="0" borderId="0" xfId="0" applyNumberFormat="1" applyFont="1" applyFill="1" applyBorder="1" applyAlignment="1" applyProtection="1">
      <alignment/>
      <protection locked="0"/>
    </xf>
    <xf numFmtId="180" fontId="26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10" fontId="4" fillId="2" borderId="0" xfId="0" applyNumberFormat="1" applyFont="1" applyFill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 locked="0"/>
    </xf>
    <xf numFmtId="181" fontId="26" fillId="0" borderId="0" xfId="0" applyNumberFormat="1" applyFont="1" applyAlignment="1" applyProtection="1">
      <alignment/>
      <protection locked="0"/>
    </xf>
    <xf numFmtId="181" fontId="4" fillId="0" borderId="0" xfId="0" applyNumberFormat="1" applyFont="1" applyFill="1" applyAlignment="1" applyProtection="1">
      <alignment/>
      <protection locked="0"/>
    </xf>
    <xf numFmtId="181" fontId="26" fillId="0" borderId="0" xfId="0" applyNumberFormat="1" applyFont="1" applyFill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181" fontId="26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176" fontId="0" fillId="0" borderId="0" xfId="0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 locked="0"/>
    </xf>
    <xf numFmtId="180" fontId="4" fillId="0" borderId="0" xfId="23" applyNumberFormat="1" applyFont="1" applyAlignment="1" applyProtection="1">
      <alignment/>
      <protection locked="0"/>
    </xf>
    <xf numFmtId="180" fontId="26" fillId="0" borderId="0" xfId="23" applyNumberFormat="1" applyFont="1" applyAlignment="1" applyProtection="1">
      <alignment/>
      <protection locked="0"/>
    </xf>
    <xf numFmtId="180" fontId="4" fillId="0" borderId="0" xfId="23" applyNumberFormat="1" applyFont="1" applyFill="1" applyAlignment="1" applyProtection="1">
      <alignment/>
      <protection locked="0"/>
    </xf>
    <xf numFmtId="3" fontId="4" fillId="2" borderId="0" xfId="0" applyNumberFormat="1" applyFont="1" applyFill="1" applyAlignment="1" applyProtection="1">
      <alignment horizontal="left" wrapText="1"/>
      <protection/>
    </xf>
    <xf numFmtId="180" fontId="4" fillId="0" borderId="0" xfId="0" applyNumberFormat="1" applyFont="1" applyAlignment="1" applyProtection="1">
      <alignment wrapText="1"/>
      <protection locked="0"/>
    </xf>
    <xf numFmtId="180" fontId="4" fillId="0" borderId="0" xfId="0" applyNumberFormat="1" applyFont="1" applyFill="1" applyAlignment="1" applyProtection="1">
      <alignment wrapText="1"/>
      <protection locked="0"/>
    </xf>
    <xf numFmtId="180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Fill="1" applyAlignment="1" applyProtection="1">
      <alignment horizontal="right" wrapText="1"/>
      <protection locked="0"/>
    </xf>
    <xf numFmtId="176" fontId="0" fillId="0" borderId="0" xfId="0" applyFont="1" applyAlignment="1">
      <alignment/>
    </xf>
    <xf numFmtId="180" fontId="26" fillId="0" borderId="0" xfId="0" applyNumberFormat="1" applyFont="1" applyFill="1" applyAlignment="1" applyProtection="1">
      <alignment wrapText="1"/>
      <protection locked="0"/>
    </xf>
    <xf numFmtId="176" fontId="0" fillId="2" borderId="0" xfId="0" applyFont="1" applyFill="1" applyAlignment="1" applyProtection="1">
      <alignment/>
      <protection/>
    </xf>
    <xf numFmtId="181" fontId="26" fillId="0" borderId="0" xfId="0" applyNumberFormat="1" applyFont="1" applyFill="1" applyAlignment="1" applyProtection="1">
      <alignment horizontal="left"/>
      <protection locked="0"/>
    </xf>
    <xf numFmtId="181" fontId="26" fillId="0" borderId="0" xfId="0" applyNumberFormat="1" applyFont="1" applyAlignment="1" applyProtection="1">
      <alignment horizontal="left"/>
      <protection locked="0"/>
    </xf>
    <xf numFmtId="176" fontId="0" fillId="0" borderId="0" xfId="0" applyFont="1" applyAlignment="1">
      <alignment horizontal="left"/>
    </xf>
    <xf numFmtId="181" fontId="4" fillId="0" borderId="0" xfId="0" applyNumberFormat="1" applyFont="1" applyAlignment="1" applyProtection="1">
      <alignment horizontal="left"/>
      <protection locked="0"/>
    </xf>
    <xf numFmtId="176" fontId="0" fillId="2" borderId="0" xfId="0" applyFont="1" applyFill="1" applyAlignment="1" applyProtection="1">
      <alignment horizontal="left"/>
      <protection/>
    </xf>
    <xf numFmtId="180" fontId="26" fillId="0" borderId="0" xfId="23" applyNumberFormat="1" applyFont="1" applyAlignment="1" applyProtection="1">
      <alignment horizontal="left"/>
      <protection locked="0"/>
    </xf>
    <xf numFmtId="180" fontId="26" fillId="0" borderId="0" xfId="23" applyNumberFormat="1" applyFont="1" applyFill="1" applyAlignment="1" applyProtection="1">
      <alignment horizontal="left"/>
      <protection locked="0"/>
    </xf>
    <xf numFmtId="176" fontId="0" fillId="0" borderId="0" xfId="0" applyFont="1" applyFill="1" applyAlignment="1" applyProtection="1">
      <alignment/>
      <protection/>
    </xf>
    <xf numFmtId="3" fontId="4" fillId="3" borderId="0" xfId="0" applyNumberFormat="1" applyFont="1" applyFill="1" applyAlignment="1" applyProtection="1">
      <alignment/>
      <protection locked="0"/>
    </xf>
    <xf numFmtId="9" fontId="4" fillId="0" borderId="0" xfId="23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176" fontId="4" fillId="0" borderId="0" xfId="0" applyFont="1" applyFill="1" applyBorder="1" applyAlignment="1">
      <alignment horizontal="left"/>
    </xf>
    <xf numFmtId="172" fontId="1" fillId="0" borderId="0" xfId="0" applyNumberFormat="1" applyFont="1" applyFill="1" applyAlignment="1" applyProtection="1" quotePrefix="1">
      <alignment horizontal="center"/>
      <protection/>
    </xf>
    <xf numFmtId="176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4" fillId="0" borderId="0" xfId="22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Font="1" applyFill="1" applyAlignment="1">
      <alignment horizontal="left"/>
    </xf>
    <xf numFmtId="3" fontId="26" fillId="0" borderId="0" xfId="0" applyNumberFormat="1" applyFont="1" applyFill="1" applyAlignment="1">
      <alignment/>
    </xf>
    <xf numFmtId="181" fontId="42" fillId="0" borderId="0" xfId="0" applyNumberFormat="1" applyFont="1" applyFill="1" applyAlignment="1" applyProtection="1">
      <alignment/>
      <protection locked="0"/>
    </xf>
    <xf numFmtId="181" fontId="42" fillId="0" borderId="0" xfId="0" applyNumberFormat="1" applyFont="1" applyAlignment="1" applyProtection="1">
      <alignment/>
      <protection locked="0"/>
    </xf>
    <xf numFmtId="3" fontId="43" fillId="0" borderId="0" xfId="0" applyNumberFormat="1" applyFont="1" applyAlignment="1" applyProtection="1">
      <alignment/>
      <protection locked="0"/>
    </xf>
    <xf numFmtId="176" fontId="1" fillId="2" borderId="0" xfId="0" applyFont="1" applyFill="1" applyAlignment="1">
      <alignment vertical="top" wrapText="1"/>
    </xf>
    <xf numFmtId="176" fontId="4" fillId="2" borderId="0" xfId="0" applyFont="1" applyFill="1" applyAlignment="1">
      <alignment vertical="top" wrapText="1"/>
    </xf>
    <xf numFmtId="176" fontId="2" fillId="2" borderId="0" xfId="0" applyFont="1" applyFill="1" applyAlignment="1">
      <alignment vertical="top" wrapText="1"/>
    </xf>
    <xf numFmtId="176" fontId="3" fillId="2" borderId="0" xfId="0" applyFont="1" applyFill="1" applyAlignment="1">
      <alignment horizontal="center" vertical="top" wrapText="1"/>
    </xf>
    <xf numFmtId="176" fontId="4" fillId="2" borderId="0" xfId="0" applyFont="1" applyFill="1" applyAlignment="1">
      <alignment horizontal="right" vertical="top" wrapText="1"/>
    </xf>
    <xf numFmtId="3" fontId="4" fillId="2" borderId="0" xfId="0" applyNumberFormat="1" applyFont="1" applyFill="1" applyBorder="1" applyAlignment="1" applyProtection="1">
      <alignment horizontal="left"/>
      <protection/>
    </xf>
    <xf numFmtId="3" fontId="2" fillId="2" borderId="0" xfId="0" applyNumberFormat="1" applyFont="1" applyFill="1" applyAlignment="1" applyProtection="1">
      <alignment horizontal="right"/>
      <protection/>
    </xf>
    <xf numFmtId="3" fontId="4" fillId="2" borderId="0" xfId="0" applyNumberFormat="1" applyFont="1" applyFill="1" applyAlignment="1" applyProtection="1">
      <alignment horizontal="left" vertical="top" wrapText="1"/>
      <protection/>
    </xf>
    <xf numFmtId="176" fontId="44" fillId="0" borderId="0" xfId="0" applyFont="1" applyAlignment="1">
      <alignment/>
    </xf>
    <xf numFmtId="3" fontId="1" fillId="0" borderId="0" xfId="21" applyNumberFormat="1" applyFont="1" applyAlignment="1" applyProtection="1">
      <alignment horizontal="center"/>
      <protection/>
    </xf>
    <xf numFmtId="0" fontId="45" fillId="0" borderId="0" xfId="21" applyFont="1">
      <alignment/>
      <protection/>
    </xf>
    <xf numFmtId="0" fontId="4" fillId="0" borderId="0" xfId="21" applyAlignment="1">
      <alignment horizontal="right"/>
      <protection/>
    </xf>
    <xf numFmtId="3" fontId="1" fillId="0" borderId="0" xfId="21" applyNumberFormat="1" applyFont="1" applyAlignment="1" applyProtection="1" quotePrefix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LS81.XL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feyrissj&#243;&#240;ir\Sk&#253;rslan00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 Stafróf"/>
      <sheetName val="2.2. Listi"/>
      <sheetName val="2.3. Kerfi"/>
      <sheetName val="3.1 Efnah."/>
      <sheetName val="3.2 Yfirlit"/>
      <sheetName val="3.3 Sjóðst."/>
      <sheetName val="3.4 Kennit."/>
      <sheetName val="4 Aðrar fjárf."/>
      <sheetName val="3.5 Aðrar fjárf."/>
      <sheetName val="Sheet1"/>
      <sheetName val="Séreignardeildir - Yfirlit"/>
      <sheetName val="Séreignardeildir - Efnah."/>
      <sheetName val="Skýringar"/>
    </sheetNames>
    <sheetDataSet>
      <sheetData sheetId="4">
        <row r="11">
          <cell r="B11">
            <v>5854092.767999999</v>
          </cell>
          <cell r="D11">
            <v>17505803</v>
          </cell>
          <cell r="E11">
            <v>12800338</v>
          </cell>
          <cell r="F11">
            <v>4190621</v>
          </cell>
          <cell r="G11">
            <v>212275</v>
          </cell>
          <cell r="H11">
            <v>32356</v>
          </cell>
          <cell r="J11">
            <v>2351226.5209999997</v>
          </cell>
          <cell r="L11">
            <v>2248911.076</v>
          </cell>
          <cell r="P11">
            <v>1660547.9189999998</v>
          </cell>
          <cell r="R11">
            <v>970569.867</v>
          </cell>
          <cell r="T11">
            <v>1117895.011</v>
          </cell>
          <cell r="Y11">
            <v>1214937.436</v>
          </cell>
          <cell r="AA11">
            <v>770379.128</v>
          </cell>
          <cell r="AC11">
            <v>691623.8879999999</v>
          </cell>
          <cell r="AD11">
            <v>443631.227</v>
          </cell>
          <cell r="AF11">
            <v>574286</v>
          </cell>
          <cell r="AG11">
            <v>342865.89999999997</v>
          </cell>
          <cell r="AH11">
            <v>679211.809</v>
          </cell>
          <cell r="AI11">
            <v>879476.734</v>
          </cell>
          <cell r="AK11">
            <v>370811.347</v>
          </cell>
          <cell r="AM11">
            <v>1242464.0019999999</v>
          </cell>
          <cell r="AO11">
            <v>1906195.5720000002</v>
          </cell>
          <cell r="AQ11">
            <v>1279368.977</v>
          </cell>
          <cell r="AR11">
            <v>412712.529</v>
          </cell>
          <cell r="AT11">
            <v>355185.41799999995</v>
          </cell>
          <cell r="AV11">
            <v>1310014</v>
          </cell>
          <cell r="AX11">
            <v>108723.282</v>
          </cell>
          <cell r="AY11">
            <v>469206.302</v>
          </cell>
          <cell r="BA11">
            <v>278660.92199999996</v>
          </cell>
          <cell r="BB11">
            <v>783285.047</v>
          </cell>
          <cell r="BD11">
            <v>165338.716</v>
          </cell>
          <cell r="BF11">
            <v>165294.319</v>
          </cell>
          <cell r="BH11">
            <v>139345.11999999997</v>
          </cell>
          <cell r="BJ11">
            <v>813145.4269999999</v>
          </cell>
          <cell r="BP11">
            <v>77462.979</v>
          </cell>
          <cell r="BQ11">
            <v>138671.077</v>
          </cell>
          <cell r="BV11">
            <v>-8974.226999999999</v>
          </cell>
          <cell r="BW11">
            <v>66357.81</v>
          </cell>
          <cell r="BX11">
            <v>346222.427</v>
          </cell>
          <cell r="CA11">
            <v>46297.93699999999</v>
          </cell>
          <cell r="CB11">
            <v>86949.718</v>
          </cell>
          <cell r="CD11">
            <v>60967.009999999995</v>
          </cell>
          <cell r="CF11">
            <v>99376.50200000001</v>
          </cell>
          <cell r="CG11">
            <v>41854.202000000005</v>
          </cell>
          <cell r="CJ11">
            <v>43246.198</v>
          </cell>
          <cell r="CM11">
            <v>19377.243</v>
          </cell>
          <cell r="CN11">
            <v>13886.621</v>
          </cell>
          <cell r="CR11">
            <v>25416.512000000002</v>
          </cell>
        </row>
        <row r="14">
          <cell r="B14">
            <v>1565375.674</v>
          </cell>
          <cell r="D14">
            <v>6333288</v>
          </cell>
          <cell r="J14">
            <v>1538153.711</v>
          </cell>
          <cell r="L14">
            <v>1045256.905</v>
          </cell>
          <cell r="P14">
            <v>869050.99</v>
          </cell>
          <cell r="R14">
            <v>505582.872</v>
          </cell>
          <cell r="T14">
            <v>170399.449</v>
          </cell>
          <cell r="V14">
            <v>449000.636</v>
          </cell>
          <cell r="Y14">
            <v>149276.684</v>
          </cell>
          <cell r="AA14">
            <v>642564.226</v>
          </cell>
          <cell r="AC14">
            <v>276405.211</v>
          </cell>
          <cell r="AD14">
            <v>255616.533</v>
          </cell>
          <cell r="AF14">
            <v>171016</v>
          </cell>
          <cell r="AG14">
            <v>546006.781</v>
          </cell>
          <cell r="AH14">
            <v>367166.954</v>
          </cell>
          <cell r="AI14">
            <v>115132.605</v>
          </cell>
          <cell r="AK14">
            <v>220656.702</v>
          </cell>
          <cell r="AM14">
            <v>87993.002</v>
          </cell>
          <cell r="AO14">
            <v>69320.025</v>
          </cell>
          <cell r="AQ14">
            <v>426240.619</v>
          </cell>
          <cell r="AR14">
            <v>229315.616</v>
          </cell>
          <cell r="AT14">
            <v>203728.866</v>
          </cell>
          <cell r="AV14">
            <v>79447</v>
          </cell>
          <cell r="AX14">
            <v>177790.261</v>
          </cell>
          <cell r="AY14">
            <v>32331.065</v>
          </cell>
          <cell r="BA14">
            <v>119670.893</v>
          </cell>
          <cell r="BB14">
            <v>59757.555</v>
          </cell>
          <cell r="BD14">
            <v>129304.098</v>
          </cell>
          <cell r="BF14">
            <v>64679.245</v>
          </cell>
          <cell r="BH14">
            <v>118597.584</v>
          </cell>
          <cell r="BJ14">
            <v>924733.296</v>
          </cell>
          <cell r="BK14">
            <v>131250.502</v>
          </cell>
          <cell r="BN14">
            <v>52424.349</v>
          </cell>
          <cell r="BO14">
            <v>75781.211</v>
          </cell>
          <cell r="BP14">
            <v>35737.152</v>
          </cell>
          <cell r="BQ14">
            <v>36689.796</v>
          </cell>
          <cell r="BR14">
            <v>354.959</v>
          </cell>
          <cell r="BV14">
            <v>26237.056</v>
          </cell>
          <cell r="BW14">
            <v>53452.387</v>
          </cell>
          <cell r="BX14">
            <v>9230.738</v>
          </cell>
          <cell r="BZ14">
            <v>74457.034</v>
          </cell>
          <cell r="CA14">
            <v>0</v>
          </cell>
          <cell r="CC14">
            <v>64317.455</v>
          </cell>
          <cell r="CD14">
            <v>13434.936</v>
          </cell>
          <cell r="CF14">
            <v>103017.043</v>
          </cell>
          <cell r="CG14">
            <v>60197.874</v>
          </cell>
          <cell r="CH14">
            <v>42158.69</v>
          </cell>
          <cell r="CI14">
            <v>33354.266</v>
          </cell>
          <cell r="CJ14">
            <v>40842.882</v>
          </cell>
          <cell r="CK14">
            <v>36249.22</v>
          </cell>
          <cell r="CL14">
            <v>33545.639</v>
          </cell>
          <cell r="CM14">
            <v>22800.509</v>
          </cell>
          <cell r="CN14">
            <v>18239.54</v>
          </cell>
          <cell r="CO14">
            <v>116567.437</v>
          </cell>
          <cell r="CP14">
            <v>0</v>
          </cell>
          <cell r="CR14">
            <v>40899.864</v>
          </cell>
          <cell r="CS14">
            <v>1414.696</v>
          </cell>
          <cell r="CV14">
            <v>19065514.292999994</v>
          </cell>
          <cell r="CX14">
            <v>8267515.793</v>
          </cell>
          <cell r="CY14">
            <v>10797998.500000002</v>
          </cell>
        </row>
        <row r="19">
          <cell r="B19">
            <v>1561865.5280000002</v>
          </cell>
          <cell r="D19">
            <v>6334895</v>
          </cell>
          <cell r="E19">
            <v>6116059</v>
          </cell>
          <cell r="F19">
            <v>11482</v>
          </cell>
          <cell r="G19">
            <v>180309</v>
          </cell>
          <cell r="H19">
            <v>26437</v>
          </cell>
          <cell r="J19">
            <v>1486244.251</v>
          </cell>
          <cell r="L19">
            <v>1031280.6930000001</v>
          </cell>
          <cell r="P19">
            <v>869400.3010000001</v>
          </cell>
          <cell r="R19">
            <v>492050.20399999997</v>
          </cell>
          <cell r="T19">
            <v>170729.34</v>
          </cell>
          <cell r="Y19">
            <v>149706.29</v>
          </cell>
          <cell r="AA19">
            <v>635968.725</v>
          </cell>
          <cell r="AC19">
            <v>269976.551</v>
          </cell>
          <cell r="AD19">
            <v>249312.13</v>
          </cell>
          <cell r="AF19">
            <v>171016</v>
          </cell>
          <cell r="AG19">
            <v>463726.34199999995</v>
          </cell>
          <cell r="AH19">
            <v>357314.64600000007</v>
          </cell>
          <cell r="AI19">
            <v>115234.605</v>
          </cell>
          <cell r="AK19">
            <v>217818.664</v>
          </cell>
          <cell r="AM19">
            <v>87993.002</v>
          </cell>
          <cell r="AO19">
            <v>69320.025</v>
          </cell>
          <cell r="AQ19">
            <v>426362.47500000003</v>
          </cell>
          <cell r="AR19">
            <v>222263.265</v>
          </cell>
          <cell r="AT19">
            <v>203728.866</v>
          </cell>
          <cell r="AV19">
            <v>79447</v>
          </cell>
          <cell r="AX19">
            <v>177790.261</v>
          </cell>
          <cell r="AY19">
            <v>32331.065</v>
          </cell>
          <cell r="BA19">
            <v>116302.235</v>
          </cell>
          <cell r="BB19">
            <v>59757.555</v>
          </cell>
          <cell r="BD19">
            <v>124189.43</v>
          </cell>
          <cell r="BF19">
            <v>64643.926</v>
          </cell>
          <cell r="BH19">
            <v>118055.889</v>
          </cell>
          <cell r="BJ19">
            <v>924733.296</v>
          </cell>
          <cell r="BP19">
            <v>34574.306000000004</v>
          </cell>
          <cell r="BQ19">
            <v>36343.109</v>
          </cell>
          <cell r="BV19">
            <v>26254.269</v>
          </cell>
          <cell r="BW19">
            <v>53452.387</v>
          </cell>
          <cell r="BX19">
            <v>9230.738</v>
          </cell>
          <cell r="CA19">
            <v>0</v>
          </cell>
          <cell r="CB19">
            <v>74457.034</v>
          </cell>
          <cell r="CD19">
            <v>13434.936</v>
          </cell>
          <cell r="CF19">
            <v>103017.043</v>
          </cell>
          <cell r="CG19">
            <v>60197.874</v>
          </cell>
          <cell r="CJ19">
            <v>40866.518</v>
          </cell>
          <cell r="CM19">
            <v>22804.502999999997</v>
          </cell>
          <cell r="CN19">
            <v>18239.54</v>
          </cell>
          <cell r="CR19">
            <v>40899.864</v>
          </cell>
        </row>
      </sheetData>
      <sheetData sheetId="8">
        <row r="67">
          <cell r="Y67">
            <v>0.04404102936852442</v>
          </cell>
          <cell r="AA67">
            <v>0.06131879246716819</v>
          </cell>
          <cell r="AC67">
            <v>-0.002739115080723395</v>
          </cell>
          <cell r="AD67">
            <v>-0.009397413251704376</v>
          </cell>
          <cell r="AF67">
            <v>-0.003397528434210496</v>
          </cell>
          <cell r="AG67">
            <v>0.022878211100080256</v>
          </cell>
          <cell r="AH67">
            <v>0.0032279231333600814</v>
          </cell>
          <cell r="AI67">
            <v>-0.04015757230052106</v>
          </cell>
          <cell r="AK67">
            <v>0.04585330439581728</v>
          </cell>
          <cell r="AM67">
            <v>0.030336100912075288</v>
          </cell>
          <cell r="AO67">
            <v>0.006506581355162608</v>
          </cell>
          <cell r="AQ67">
            <v>0.04911289701931616</v>
          </cell>
          <cell r="AR67">
            <v>0.014195516096378476</v>
          </cell>
          <cell r="AT67">
            <v>0.07505635235673602</v>
          </cell>
          <cell r="AV67">
            <v>-0.03525853293305638</v>
          </cell>
          <cell r="AX67">
            <v>0.027073059850817444</v>
          </cell>
          <cell r="AY67">
            <v>0.004650749989251064</v>
          </cell>
          <cell r="BA67">
            <v>0.022782966907793332</v>
          </cell>
          <cell r="BB67">
            <v>-0.006097583278466132</v>
          </cell>
          <cell r="BD67">
            <v>0.07235433591228889</v>
          </cell>
          <cell r="BF67">
            <v>0.0819992319215676</v>
          </cell>
          <cell r="BH67">
            <v>0.08257424250437014</v>
          </cell>
          <cell r="BJ67">
            <v>0.03845274408382667</v>
          </cell>
          <cell r="BK67">
            <v>-0.03887042792682731</v>
          </cell>
          <cell r="BL67">
            <v>-0.04649121886818628</v>
          </cell>
          <cell r="BM67">
            <v>0.04441453857430705</v>
          </cell>
          <cell r="BN67">
            <v>0.010571835954678293</v>
          </cell>
          <cell r="BO67">
            <v>0.06695353973472556</v>
          </cell>
          <cell r="BP67">
            <v>-0.017324035784133263</v>
          </cell>
          <cell r="BQ67">
            <v>0.07442208959289445</v>
          </cell>
          <cell r="BR67">
            <v>-0.05966958869683114</v>
          </cell>
          <cell r="BS67">
            <v>-0.05955780268187613</v>
          </cell>
          <cell r="BT67">
            <v>-0.06068179307345633</v>
          </cell>
          <cell r="BV67">
            <v>-0.02281571643161097</v>
          </cell>
          <cell r="BW67">
            <v>0.06456512924708788</v>
          </cell>
          <cell r="BX67">
            <v>-0.049785740262197134</v>
          </cell>
          <cell r="CA67">
            <v>-0.06633282821809505</v>
          </cell>
          <cell r="CB67">
            <v>0.04983418218090434</v>
          </cell>
          <cell r="CC67">
            <v>0.0711326471053825</v>
          </cell>
          <cell r="CD67">
            <v>-0.04681596087245547</v>
          </cell>
          <cell r="CF67">
            <v>0.07614295294849341</v>
          </cell>
          <cell r="CG67">
            <v>0.10154103175763096</v>
          </cell>
          <cell r="CH67">
            <v>0.024038857727422498</v>
          </cell>
          <cell r="CI67">
            <v>0.07549847920022162</v>
          </cell>
          <cell r="CJ67">
            <v>0.03799329939940776</v>
          </cell>
          <cell r="CK67">
            <v>0.0421621182472829</v>
          </cell>
          <cell r="CL67">
            <v>0.11979218654608959</v>
          </cell>
          <cell r="CM67">
            <v>0.07158806455866323</v>
          </cell>
          <cell r="CN67">
            <v>0.038066098628516766</v>
          </cell>
          <cell r="CO67">
            <v>0.06204233511758879</v>
          </cell>
          <cell r="CP67">
            <v>0.09267648168084792</v>
          </cell>
          <cell r="CR67">
            <v>0.07234942606430238</v>
          </cell>
          <cell r="CS67">
            <v>0.011714794105101045</v>
          </cell>
          <cell r="CV67">
            <v>0.0341046596498211</v>
          </cell>
          <cell r="CX67">
            <v>0.05340928595128546</v>
          </cell>
          <cell r="CY67">
            <v>0.030432863951570997</v>
          </cell>
        </row>
        <row r="68">
          <cell r="Y68">
            <v>0.0418</v>
          </cell>
          <cell r="AA68">
            <v>0.0418</v>
          </cell>
          <cell r="AC68">
            <v>0.0418</v>
          </cell>
          <cell r="AD68">
            <v>0.0418</v>
          </cell>
          <cell r="AF68">
            <v>0.0418</v>
          </cell>
          <cell r="AG68">
            <v>0.0418</v>
          </cell>
          <cell r="AH68">
            <v>0.0418</v>
          </cell>
          <cell r="AI68">
            <v>0.0418</v>
          </cell>
          <cell r="AK68">
            <v>0.0418</v>
          </cell>
          <cell r="AM68">
            <v>0.0418</v>
          </cell>
          <cell r="AO68">
            <v>0.0418</v>
          </cell>
          <cell r="AQ68">
            <v>0.0418</v>
          </cell>
          <cell r="AR68">
            <v>0.0418</v>
          </cell>
          <cell r="AT68">
            <v>0.0418</v>
          </cell>
          <cell r="AV68">
            <v>0.0418</v>
          </cell>
          <cell r="AX68">
            <v>0.0418</v>
          </cell>
          <cell r="AY68">
            <v>0.0418</v>
          </cell>
          <cell r="BA68">
            <v>0.0418</v>
          </cell>
          <cell r="BB68">
            <v>0.0418</v>
          </cell>
          <cell r="BD68">
            <v>0.0418</v>
          </cell>
          <cell r="BF68">
            <v>0.0418</v>
          </cell>
          <cell r="BH68">
            <v>0.0418</v>
          </cell>
          <cell r="BJ68">
            <v>0.0418</v>
          </cell>
          <cell r="BK68">
            <v>0.0418</v>
          </cell>
          <cell r="BL68">
            <v>0.0418</v>
          </cell>
          <cell r="BM68">
            <v>0.0418</v>
          </cell>
          <cell r="BN68">
            <v>0.0418</v>
          </cell>
          <cell r="BO68">
            <v>0.0418</v>
          </cell>
          <cell r="BP68">
            <v>0.0418</v>
          </cell>
          <cell r="BQ68">
            <v>0.0418</v>
          </cell>
          <cell r="BR68">
            <v>0.0418</v>
          </cell>
          <cell r="BS68">
            <v>0.0418</v>
          </cell>
          <cell r="BT68">
            <v>0.0418</v>
          </cell>
          <cell r="BV68">
            <v>0.0418</v>
          </cell>
          <cell r="BW68">
            <v>0.0418</v>
          </cell>
          <cell r="BX68">
            <v>0.0418</v>
          </cell>
          <cell r="CA68">
            <v>0.0418</v>
          </cell>
          <cell r="CB68">
            <v>0.0418</v>
          </cell>
          <cell r="CC68">
            <v>0.0418</v>
          </cell>
          <cell r="CD68">
            <v>0.0418</v>
          </cell>
          <cell r="CF68">
            <v>0.0418</v>
          </cell>
          <cell r="CG68">
            <v>0.0418</v>
          </cell>
          <cell r="CH68">
            <v>0.0418</v>
          </cell>
          <cell r="CI68">
            <v>0.0418</v>
          </cell>
          <cell r="CJ68">
            <v>0.0418</v>
          </cell>
          <cell r="CK68">
            <v>0.0418</v>
          </cell>
          <cell r="CL68">
            <v>0.0418</v>
          </cell>
          <cell r="CM68">
            <v>0.0418</v>
          </cell>
          <cell r="CN68">
            <v>0.0418</v>
          </cell>
          <cell r="CO68">
            <v>0.0418</v>
          </cell>
          <cell r="CP68">
            <v>0.0418</v>
          </cell>
          <cell r="CR68">
            <v>0.0418</v>
          </cell>
          <cell r="CS68">
            <v>0.0418</v>
          </cell>
          <cell r="CV68">
            <v>0.0418</v>
          </cell>
          <cell r="CX68">
            <v>0.0418</v>
          </cell>
          <cell r="CY68">
            <v>0.0418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E21" sqref="E21"/>
    </sheetView>
  </sheetViews>
  <sheetFormatPr defaultColWidth="9.00390625" defaultRowHeight="12.75"/>
  <cols>
    <col min="1" max="1" width="2.875" style="30" customWidth="1"/>
    <col min="2" max="2" width="36.00390625" style="30" customWidth="1"/>
    <col min="3" max="3" width="4.75390625" style="30" customWidth="1"/>
    <col min="4" max="16384" width="9.00390625" style="30" customWidth="1"/>
  </cols>
  <sheetData>
    <row r="1" ht="12.75">
      <c r="A1" s="30" t="s">
        <v>607</v>
      </c>
    </row>
    <row r="2" spans="1:2" ht="12.75" customHeight="1">
      <c r="A2" s="30" t="s">
        <v>549</v>
      </c>
      <c r="B2" s="182"/>
    </row>
    <row r="3" ht="12.75" customHeight="1">
      <c r="C3" s="183" t="s">
        <v>536</v>
      </c>
    </row>
    <row r="4" ht="12.75" customHeight="1">
      <c r="C4" s="183" t="s">
        <v>535</v>
      </c>
    </row>
    <row r="5" spans="2:3" ht="11.25" customHeight="1">
      <c r="B5" s="179" t="s">
        <v>169</v>
      </c>
      <c r="C5" s="178">
        <v>19</v>
      </c>
    </row>
    <row r="6" spans="2:3" ht="11.25" customHeight="1">
      <c r="B6" s="179" t="s">
        <v>173</v>
      </c>
      <c r="C6" s="178">
        <v>38</v>
      </c>
    </row>
    <row r="7" spans="2:3" ht="11.25" customHeight="1">
      <c r="B7" s="180" t="s">
        <v>267</v>
      </c>
      <c r="C7" s="178">
        <v>41</v>
      </c>
    </row>
    <row r="8" spans="2:3" ht="11.25" customHeight="1">
      <c r="B8" s="179" t="s">
        <v>167</v>
      </c>
      <c r="C8" s="178">
        <v>33</v>
      </c>
    </row>
    <row r="9" spans="2:3" ht="11.25" customHeight="1">
      <c r="B9" s="179" t="s">
        <v>264</v>
      </c>
      <c r="C9" s="178">
        <v>22</v>
      </c>
    </row>
    <row r="10" spans="2:3" ht="11.25" customHeight="1">
      <c r="B10" s="180" t="s">
        <v>261</v>
      </c>
      <c r="C10" s="181">
        <v>48</v>
      </c>
    </row>
    <row r="11" spans="2:3" ht="11.25" customHeight="1">
      <c r="B11" s="180" t="s">
        <v>177</v>
      </c>
      <c r="C11" s="181">
        <v>46</v>
      </c>
    </row>
    <row r="12" spans="2:3" ht="11.25" customHeight="1">
      <c r="B12" s="180" t="s">
        <v>184</v>
      </c>
      <c r="C12" s="178">
        <v>53</v>
      </c>
    </row>
    <row r="13" spans="2:3" ht="11.25" customHeight="1">
      <c r="B13" s="180" t="s">
        <v>179</v>
      </c>
      <c r="C13" s="178">
        <v>47</v>
      </c>
    </row>
    <row r="14" spans="2:3" ht="11.25" customHeight="1">
      <c r="B14" s="179" t="s">
        <v>162</v>
      </c>
      <c r="C14" s="178">
        <v>18</v>
      </c>
    </row>
    <row r="15" spans="2:3" ht="11.25" customHeight="1">
      <c r="B15" s="179" t="s">
        <v>180</v>
      </c>
      <c r="C15" s="178">
        <v>27</v>
      </c>
    </row>
    <row r="16" spans="2:3" ht="11.25" customHeight="1">
      <c r="B16" s="180" t="s">
        <v>268</v>
      </c>
      <c r="C16" s="178">
        <v>49</v>
      </c>
    </row>
    <row r="17" spans="2:3" ht="11.25" customHeight="1">
      <c r="B17" s="180" t="s">
        <v>178</v>
      </c>
      <c r="C17" s="178">
        <v>45</v>
      </c>
    </row>
    <row r="18" spans="2:3" ht="11.25" customHeight="1">
      <c r="B18" s="179" t="s">
        <v>278</v>
      </c>
      <c r="C18" s="178">
        <v>25</v>
      </c>
    </row>
    <row r="19" spans="2:3" ht="11.25" customHeight="1">
      <c r="B19" s="179" t="s">
        <v>157</v>
      </c>
      <c r="C19" s="178">
        <v>11</v>
      </c>
    </row>
    <row r="20" spans="2:3" ht="11.25" customHeight="1">
      <c r="B20" s="179" t="s">
        <v>274</v>
      </c>
      <c r="C20" s="178">
        <v>8</v>
      </c>
    </row>
    <row r="21" spans="2:3" ht="11.25" customHeight="1">
      <c r="B21" s="179" t="s">
        <v>171</v>
      </c>
      <c r="C21" s="178">
        <v>35</v>
      </c>
    </row>
    <row r="22" spans="2:3" ht="11.25" customHeight="1">
      <c r="B22" s="179" t="s">
        <v>156</v>
      </c>
      <c r="C22" s="178">
        <v>14</v>
      </c>
    </row>
    <row r="23" spans="2:3" ht="11.25" customHeight="1">
      <c r="B23" s="179" t="s">
        <v>166</v>
      </c>
      <c r="C23" s="178">
        <v>32</v>
      </c>
    </row>
    <row r="24" spans="2:3" ht="11.25" customHeight="1">
      <c r="B24" s="179" t="s">
        <v>170</v>
      </c>
      <c r="C24" s="178">
        <v>34</v>
      </c>
    </row>
    <row r="25" spans="2:3" ht="11.25" customHeight="1">
      <c r="B25" s="179" t="s">
        <v>194</v>
      </c>
      <c r="C25" s="178">
        <v>20</v>
      </c>
    </row>
    <row r="26" spans="2:3" ht="11.25" customHeight="1">
      <c r="B26" s="179" t="s">
        <v>163</v>
      </c>
      <c r="C26" s="178">
        <v>30</v>
      </c>
    </row>
    <row r="27" spans="2:3" ht="11.25" customHeight="1">
      <c r="B27" s="179" t="s">
        <v>160</v>
      </c>
      <c r="C27" s="178">
        <v>13</v>
      </c>
    </row>
    <row r="28" spans="2:3" ht="11.25" customHeight="1">
      <c r="B28" s="180" t="s">
        <v>288</v>
      </c>
      <c r="C28" s="181">
        <v>42</v>
      </c>
    </row>
    <row r="29" spans="2:3" ht="11.25" customHeight="1">
      <c r="B29" s="180" t="s">
        <v>185</v>
      </c>
      <c r="C29" s="181">
        <v>52</v>
      </c>
    </row>
    <row r="30" spans="2:3" ht="11.25" customHeight="1">
      <c r="B30" s="179" t="s">
        <v>154</v>
      </c>
      <c r="C30" s="178">
        <v>6</v>
      </c>
    </row>
    <row r="31" spans="2:3" ht="11.25" customHeight="1">
      <c r="B31" s="179" t="s">
        <v>172</v>
      </c>
      <c r="C31" s="178">
        <v>36</v>
      </c>
    </row>
    <row r="32" spans="2:3" ht="11.25" customHeight="1">
      <c r="B32" s="179" t="s">
        <v>149</v>
      </c>
      <c r="C32" s="178">
        <v>5</v>
      </c>
    </row>
    <row r="33" spans="2:3" ht="11.25" customHeight="1">
      <c r="B33" s="180" t="s">
        <v>175</v>
      </c>
      <c r="C33" s="181">
        <v>44</v>
      </c>
    </row>
    <row r="34" spans="2:3" ht="11.25" customHeight="1">
      <c r="B34" s="179" t="s">
        <v>287</v>
      </c>
      <c r="C34" s="178">
        <v>24</v>
      </c>
    </row>
    <row r="35" spans="2:3" ht="11.25" customHeight="1">
      <c r="B35" s="179" t="s">
        <v>174</v>
      </c>
      <c r="C35" s="178">
        <v>39</v>
      </c>
    </row>
    <row r="36" spans="2:3" ht="11.25" customHeight="1">
      <c r="B36" s="180" t="s">
        <v>188</v>
      </c>
      <c r="C36" s="181">
        <v>56</v>
      </c>
    </row>
    <row r="37" spans="2:3" ht="11.25" customHeight="1">
      <c r="B37" s="180" t="s">
        <v>187</v>
      </c>
      <c r="C37" s="178">
        <v>55</v>
      </c>
    </row>
    <row r="38" spans="2:3" ht="11.25" customHeight="1">
      <c r="B38" s="180" t="s">
        <v>183</v>
      </c>
      <c r="C38" s="178">
        <v>51</v>
      </c>
    </row>
    <row r="39" spans="2:3" ht="11.25" customHeight="1">
      <c r="B39" s="179" t="s">
        <v>165</v>
      </c>
      <c r="C39" s="178">
        <v>31</v>
      </c>
    </row>
    <row r="40" spans="2:3" ht="11.25" customHeight="1">
      <c r="B40" s="179" t="s">
        <v>306</v>
      </c>
      <c r="C40" s="178">
        <v>2</v>
      </c>
    </row>
    <row r="41" spans="2:3" ht="11.25" customHeight="1">
      <c r="B41" s="180" t="s">
        <v>279</v>
      </c>
      <c r="C41" s="178">
        <v>37</v>
      </c>
    </row>
    <row r="42" spans="2:3" ht="11.25" customHeight="1">
      <c r="B42" s="179" t="s">
        <v>281</v>
      </c>
      <c r="C42" s="178">
        <v>26</v>
      </c>
    </row>
    <row r="43" spans="2:3" ht="11.25" customHeight="1">
      <c r="B43" s="179" t="s">
        <v>159</v>
      </c>
      <c r="C43" s="178">
        <v>15</v>
      </c>
    </row>
    <row r="44" spans="2:3" ht="11.25" customHeight="1">
      <c r="B44" s="180" t="s">
        <v>176</v>
      </c>
      <c r="C44" s="178">
        <v>43</v>
      </c>
    </row>
    <row r="45" spans="2:3" ht="11.25" customHeight="1">
      <c r="B45" s="179" t="s">
        <v>164</v>
      </c>
      <c r="C45" s="178">
        <v>28</v>
      </c>
    </row>
    <row r="46" spans="2:3" ht="11.25" customHeight="1">
      <c r="B46" s="179" t="s">
        <v>282</v>
      </c>
      <c r="C46" s="178">
        <v>16</v>
      </c>
    </row>
    <row r="47" spans="2:3" ht="11.25" customHeight="1">
      <c r="B47" s="179" t="s">
        <v>148</v>
      </c>
      <c r="C47" s="178">
        <v>1</v>
      </c>
    </row>
    <row r="48" spans="2:3" ht="11.25" customHeight="1">
      <c r="B48" s="179" t="s">
        <v>158</v>
      </c>
      <c r="C48" s="178">
        <v>12</v>
      </c>
    </row>
    <row r="49" spans="2:3" ht="11.25" customHeight="1">
      <c r="B49" s="179" t="s">
        <v>263</v>
      </c>
      <c r="C49" s="178">
        <v>17</v>
      </c>
    </row>
    <row r="50" spans="2:3" ht="11.25" customHeight="1">
      <c r="B50" s="179" t="s">
        <v>161</v>
      </c>
      <c r="C50" s="178">
        <v>21</v>
      </c>
    </row>
    <row r="51" spans="2:3" ht="11.25" customHeight="1">
      <c r="B51" s="179" t="s">
        <v>182</v>
      </c>
      <c r="C51" s="178">
        <v>23</v>
      </c>
    </row>
    <row r="52" spans="2:3" ht="11.25" customHeight="1">
      <c r="B52" s="179" t="s">
        <v>192</v>
      </c>
      <c r="C52" s="178">
        <v>3</v>
      </c>
    </row>
    <row r="53" spans="2:3" ht="11.25" customHeight="1">
      <c r="B53" s="179" t="s">
        <v>168</v>
      </c>
      <c r="C53" s="178">
        <v>29</v>
      </c>
    </row>
    <row r="54" spans="2:3" ht="11.25" customHeight="1">
      <c r="B54" s="179" t="s">
        <v>239</v>
      </c>
      <c r="C54" s="178">
        <v>9</v>
      </c>
    </row>
    <row r="55" spans="2:3" ht="11.25" customHeight="1">
      <c r="B55" s="180" t="s">
        <v>181</v>
      </c>
      <c r="C55" s="181">
        <v>50</v>
      </c>
    </row>
    <row r="56" spans="2:3" ht="11.25" customHeight="1">
      <c r="B56" s="179" t="s">
        <v>151</v>
      </c>
      <c r="C56" s="178">
        <v>4</v>
      </c>
    </row>
    <row r="57" spans="2:3" ht="11.25" customHeight="1">
      <c r="B57" s="179" t="s">
        <v>155</v>
      </c>
      <c r="C57" s="178">
        <v>10</v>
      </c>
    </row>
    <row r="58" spans="2:3" ht="11.25" customHeight="1">
      <c r="B58" s="180" t="s">
        <v>240</v>
      </c>
      <c r="C58" s="181">
        <v>40</v>
      </c>
    </row>
    <row r="59" spans="2:3" ht="11.25" customHeight="1">
      <c r="B59" s="179" t="s">
        <v>153</v>
      </c>
      <c r="C59" s="178">
        <v>7</v>
      </c>
    </row>
    <row r="60" spans="2:3" ht="11.25" customHeight="1">
      <c r="B60" s="180" t="s">
        <v>186</v>
      </c>
      <c r="C60" s="181">
        <v>54</v>
      </c>
    </row>
  </sheetData>
  <printOptions/>
  <pageMargins left="0.7480314960629921" right="0.7480314960629921" top="0.6692913385826772" bottom="0" header="0.2362204724409449" footer="0.2362204724409449"/>
  <pageSetup firstPageNumber="6" useFirstPageNumber="1" horizontalDpi="600" verticalDpi="600" orientation="portrait" paperSize="9" r:id="rId1"/>
  <headerFooter alignWithMargins="0">
    <oddHeader>&amp;C&amp;"Times New Roman,Bold"&amp;14 2.1. PENSION FUNDS LISTED BY ALPHABETICAL ORDER</oddHeader>
    <oddFooter>&amp;R&amp;"Times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J90"/>
  <sheetViews>
    <sheetView workbookViewId="0" topLeftCell="A31">
      <selection activeCell="E16" sqref="E16"/>
    </sheetView>
  </sheetViews>
  <sheetFormatPr defaultColWidth="9.00390625" defaultRowHeight="12.75"/>
  <cols>
    <col min="1" max="1" width="19.875" style="0" customWidth="1"/>
  </cols>
  <sheetData>
    <row r="1" spans="2:62" ht="12.75">
      <c r="B1" s="154" t="str">
        <f>+'3.1 Balance sheet.'!B1</f>
        <v>Lífeyrissj.</v>
      </c>
      <c r="C1" s="154" t="str">
        <f>+'3.1 Balance sheet.'!D1</f>
        <v>Lífeyrissj.</v>
      </c>
      <c r="D1" s="154" t="str">
        <f>+'3.1 Balance sheet.'!E1</f>
        <v>Lífeyrissj.</v>
      </c>
      <c r="E1" s="154" t="str">
        <f>+'3.1 Balance sheet.'!F1</f>
        <v>Lífeyrissj.</v>
      </c>
      <c r="F1" s="154" t="str">
        <f>+'3.1 Balance sheet.'!G1</f>
        <v>Lífeyrissj.</v>
      </c>
      <c r="G1" s="154" t="str">
        <f>+'3.1 Balance sheet.'!H1</f>
        <v>Lífeyrissj.</v>
      </c>
      <c r="H1" s="154" t="str">
        <f>+'3.1 Balance sheet.'!J1</f>
        <v>Lífeyrissj.</v>
      </c>
      <c r="I1" s="154" t="str">
        <f>+'3.1 Balance sheet.'!L1</f>
        <v>Sameinaði</v>
      </c>
      <c r="J1" s="154" t="str">
        <f>+'3.1 Balance sheet.'!P1</f>
        <v>Lífeyrissj.</v>
      </c>
      <c r="K1" s="154" t="str">
        <f>+'3.1 Balance sheet.'!R1</f>
        <v>Lífeyrissj.</v>
      </c>
      <c r="L1" s="154" t="str">
        <f>+'3.1 Balance sheet.'!T1</f>
        <v>Söfnunarsj.</v>
      </c>
      <c r="M1" s="154" t="str">
        <f>+'3.1 Balance sheet.'!V1</f>
        <v>Lífeyrissj.</v>
      </c>
      <c r="N1" s="154" t="str">
        <f>+'3.1 Balance sheet.'!AA1</f>
        <v>Samvinnu-</v>
      </c>
      <c r="O1" s="154" t="str">
        <f>+'3.1 Balance sheet.'!Y1</f>
        <v>Lífeyrissj.</v>
      </c>
      <c r="P1" s="154" t="str">
        <f>+'3.1 Balance sheet.'!AC1</f>
        <v>Lífeyrissj.</v>
      </c>
      <c r="Q1" s="154" t="str">
        <f>+'3.1 Balance sheet.'!AD1</f>
        <v>Lífeyrissj.</v>
      </c>
      <c r="R1" s="154" t="str">
        <f>+'3.1 Balance sheet.'!AG1</f>
        <v>Lífeyrissj.</v>
      </c>
      <c r="S1" s="154" t="str">
        <f>+'3.1 Balance sheet.'!AF1</f>
        <v>Lífeyrissj.</v>
      </c>
      <c r="T1" s="154" t="str">
        <f>+'3.1 Balance sheet.'!AI1</f>
        <v>Lífeyrissj.</v>
      </c>
      <c r="U1" s="154" t="str">
        <f>+'3.1 Balance sheet.'!AH1</f>
        <v>Lífeyrissj.</v>
      </c>
      <c r="V1" s="154" t="str">
        <f>+'3.1 Balance sheet.'!AK1</f>
        <v>Lífeyrissj.</v>
      </c>
      <c r="W1" s="154" t="str">
        <f>+'3.1 Balance sheet.'!AM1</f>
        <v>Frjálsi </v>
      </c>
      <c r="X1" s="154" t="str">
        <f>+'3.1 Balance sheet.'!AR1</f>
        <v>Lífeyrissj.</v>
      </c>
      <c r="Y1" s="154" t="str">
        <f>+'3.1 Balance sheet.'!AO1</f>
        <v>Almennur</v>
      </c>
      <c r="Z1" s="154" t="str">
        <f>+'3.1 Balance sheet.'!AQ1</f>
        <v>Lífeyrissj.</v>
      </c>
      <c r="AA1" s="154" t="str">
        <f>+'3.1 Balance sheet.'!AT1</f>
        <v>Eftirlauna-</v>
      </c>
      <c r="AB1" s="154" t="str">
        <f>+'3.1 Balance sheet.'!AX1</f>
        <v>Lífeyrissj.</v>
      </c>
      <c r="AC1" s="154" t="str">
        <f>+'3.1 Balance sheet.'!AV1</f>
        <v>Lífeyris-</v>
      </c>
      <c r="AD1" s="154" t="str">
        <f>+'3.1 Balance sheet.'!AY1</f>
        <v>Lífeyrissj.</v>
      </c>
      <c r="AE1" s="154" t="str">
        <f>+'3.1 Balance sheet.'!BA1</f>
        <v>Lífeyrissj.</v>
      </c>
      <c r="AF1" s="154" t="str">
        <f>+'3.1 Balance sheet.'!BB1</f>
        <v>Íslenski </v>
      </c>
      <c r="AG1" s="154" t="str">
        <f>+'3.1 Balance sheet.'!BD1</f>
        <v>Lífeyrissj.</v>
      </c>
      <c r="AH1" s="154" t="str">
        <f>+'3.1 Balance sheet.'!BJ1</f>
        <v>Lífeyrissj.</v>
      </c>
      <c r="AI1" s="154" t="str">
        <f>+'3.1 Balance sheet.'!BF1</f>
        <v>Lífeyris-</v>
      </c>
      <c r="AJ1" s="154" t="str">
        <f>+'3.1 Balance sheet.'!BH1</f>
        <v>Lífeyrissj.</v>
      </c>
      <c r="AK1" s="154" t="str">
        <f>+'3.1 Balance sheet.'!BK1</f>
        <v>Lífeyrissj.</v>
      </c>
      <c r="AL1" s="154" t="str">
        <f>+'3.1 Balance sheet.'!BN1</f>
        <v>Eftirlaunasj.</v>
      </c>
      <c r="AM1" s="154" t="str">
        <f>+'3.1 Balance sheet.'!BP1</f>
        <v>Lífeyrissj.</v>
      </c>
      <c r="AN1" s="154" t="str">
        <f>+'3.1 Balance sheet.'!BO1</f>
        <v>Lífeyrissj.</v>
      </c>
      <c r="AO1" s="154" t="str">
        <f>+'3.1 Balance sheet.'!BQ1</f>
        <v>Lífeyrissj.</v>
      </c>
      <c r="AP1" s="154" t="str">
        <f>+'3.1 Balance sheet.'!BV1</f>
        <v>Eftirlaunasj.</v>
      </c>
      <c r="AQ1" s="154" t="str">
        <f>+'3.1 Balance sheet.'!BW1</f>
        <v>Lífeyrissj.</v>
      </c>
      <c r="AR1" s="154" t="str">
        <f>+'3.1 Balance sheet.'!CC1</f>
        <v>Lífeyrissj.</v>
      </c>
      <c r="AS1" s="154" t="str">
        <f>+'3.1 Balance sheet.'!BZ1</f>
        <v>Eftirlaunasj.</v>
      </c>
      <c r="AT1" s="154" t="str">
        <f>+'3.1 Balance sheet.'!CD1</f>
        <v>Lífeyrissj.</v>
      </c>
      <c r="AU1" s="154" t="str">
        <f>+'3.1 Balance sheet.'!BX1</f>
        <v>Séreigna-</v>
      </c>
      <c r="AV1" s="154" t="str">
        <f>+'3.1 Balance sheet.'!CF1</f>
        <v>Lífeyrissj.</v>
      </c>
      <c r="AW1" s="154" t="str">
        <f>+'3.1 Balance sheet.'!CG1</f>
        <v>Lífeyrissj.</v>
      </c>
      <c r="AX1" s="154" t="str">
        <f>+'3.1 Balance sheet.'!CH1</f>
        <v>Eftirlaunasj.</v>
      </c>
      <c r="AY1" s="154" t="str">
        <f>+'3.1 Balance sheet.'!BR1</f>
        <v>Lífeyrissj.</v>
      </c>
      <c r="AZ1" s="154" t="str">
        <f>+'3.1 Balance sheet.'!CI1</f>
        <v>Eftirlaunasj.</v>
      </c>
      <c r="BA1" s="154" t="str">
        <f>+'3.1 Balance sheet.'!CK1</f>
        <v>Lífeyrissj.</v>
      </c>
      <c r="BB1" s="154" t="str">
        <f>+'3.1 Balance sheet.'!CJ1</f>
        <v>Eftirlaunasj.</v>
      </c>
      <c r="BC1" s="154" t="str">
        <f>+'3.1 Balance sheet.'!CL1</f>
        <v>Lífeyris-</v>
      </c>
      <c r="BD1" s="154" t="str">
        <f>+'3.1 Balance sheet.'!CM1</f>
        <v>Lífeyrissj.</v>
      </c>
      <c r="BE1" s="154" t="str">
        <f>+'3.1 Balance sheet.'!CN1</f>
        <v>Lífeyrissj.</v>
      </c>
      <c r="BF1" s="154" t="str">
        <f>+'3.1 Balance sheet.'!CO1</f>
        <v>Eftirlaunasj.</v>
      </c>
      <c r="BG1" s="154" t="str">
        <f>+'3.1 Balance sheet.'!CP1</f>
        <v>Trygginga-</v>
      </c>
      <c r="BH1" s="154" t="str">
        <f>+'3.1 Balance sheet.'!CR1</f>
        <v>Lífeyrissj.</v>
      </c>
      <c r="BI1" s="154" t="str">
        <f>+'3.1 Balance sheet.'!CS1</f>
        <v>Lífeyrissj.</v>
      </c>
      <c r="BJ1" s="154">
        <f>+'3.1 Balance sheet.'!CU1</f>
        <v>0</v>
      </c>
    </row>
    <row r="2" spans="2:62" ht="12.75">
      <c r="B2" s="154" t="str">
        <f>+'3.1 Balance sheet.'!B2</f>
        <v>verslunar-</v>
      </c>
      <c r="C2" s="154" t="str">
        <f>+'3.1 Balance sheet.'!D2</f>
        <v>st. ríkisins</v>
      </c>
      <c r="D2" s="154" t="str">
        <f>+'3.1 Balance sheet.'!E2</f>
        <v>st. ríkisins</v>
      </c>
      <c r="E2" s="154" t="str">
        <f>+'3.1 Balance sheet.'!F2</f>
        <v>st. ríkisins</v>
      </c>
      <c r="F2" s="154" t="str">
        <f>+'3.1 Balance sheet.'!G2</f>
        <v>st. ríkisins</v>
      </c>
      <c r="G2" s="154" t="str">
        <f>+'3.1 Balance sheet.'!H2</f>
        <v>st. ríkisins</v>
      </c>
      <c r="H2" s="154" t="str">
        <f>+'3.1 Balance sheet.'!J2</f>
        <v>Framsýn</v>
      </c>
      <c r="I2" s="154" t="str">
        <f>+'3.1 Balance sheet.'!L2</f>
        <v>lífeyris-</v>
      </c>
      <c r="J2" s="154" t="str">
        <f>+'3.1 Balance sheet.'!P2</f>
        <v>sjómanna</v>
      </c>
      <c r="K2" s="154" t="str">
        <f>+'3.1 Balance sheet.'!R2</f>
        <v>Norður-</v>
      </c>
      <c r="L2" s="154" t="str">
        <f>+'3.1 Balance sheet.'!T2</f>
        <v>lífeyris-</v>
      </c>
      <c r="M2" s="154" t="str">
        <f>+'3.1 Balance sheet.'!V2</f>
        <v>banka-</v>
      </c>
      <c r="N2" s="154" t="str">
        <f>+'3.1 Balance sheet.'!AA2</f>
        <v>lífeyris-</v>
      </c>
      <c r="O2" s="154" t="str">
        <f>+'3.1 Balance sheet.'!Y2</f>
        <v>Lífiðn</v>
      </c>
      <c r="P2" s="154" t="str">
        <f>+'3.1 Balance sheet.'!AC2</f>
        <v>Austur-</v>
      </c>
      <c r="Q2" s="154" t="str">
        <f>+'3.1 Balance sheet.'!AD2</f>
        <v>Vest- </v>
      </c>
      <c r="R2" s="154" t="str">
        <f>+'3.1 Balance sheet.'!AG2</f>
        <v>bænda </v>
      </c>
      <c r="S2" s="154" t="str">
        <f>+'3.1 Balance sheet.'!AF2</f>
        <v>lækna </v>
      </c>
      <c r="T2" s="154" t="str">
        <f>+'3.1 Balance sheet.'!AI2</f>
        <v>verk-</v>
      </c>
      <c r="U2" s="154" t="str">
        <f>+'3.1 Balance sheet.'!AH2</f>
        <v>Suður-</v>
      </c>
      <c r="V2" s="154" t="str">
        <f>+'3.1 Balance sheet.'!AK2</f>
        <v>Vestmanna-</v>
      </c>
      <c r="W2" s="154" t="str">
        <f>+'3.1 Balance sheet.'!AM2</f>
        <v>lífeyris-</v>
      </c>
      <c r="X2" s="154" t="str">
        <f>+'3.1 Balance sheet.'!AR2</f>
        <v>Vestur-</v>
      </c>
      <c r="Y2" s="154" t="str">
        <f>+'3.1 Balance sheet.'!AO2</f>
        <v>lífeyrissj.</v>
      </c>
      <c r="Z2" s="154" t="str">
        <f>+'3.1 Balance sheet.'!AQ2</f>
        <v>hjúkrunar-</v>
      </c>
      <c r="AA2" s="154" t="str">
        <f>+'3.1 Balance sheet.'!AT2</f>
        <v>sjóður</v>
      </c>
      <c r="AB2" s="154" t="str">
        <f>+'3.1 Balance sheet.'!AX2</f>
        <v>starfsm.</v>
      </c>
      <c r="AC2" s="154" t="str">
        <f>+'3.1 Balance sheet.'!AV2</f>
        <v>sjóðurinn</v>
      </c>
      <c r="AD2" s="154" t="str">
        <f>+'3.1 Balance sheet.'!AY2</f>
        <v>arkitekta og </v>
      </c>
      <c r="AE2" s="154" t="str">
        <f>+'3.1 Balance sheet.'!BA2</f>
        <v>Suðurlands</v>
      </c>
      <c r="AF2" s="154" t="str">
        <f>+'3.1 Balance sheet.'!BB2</f>
        <v>lífeyris-</v>
      </c>
      <c r="AG2" s="154" t="str">
        <f>+'3.1 Balance sheet.'!BD2</f>
        <v>verkalfél.</v>
      </c>
      <c r="AH2" s="154" t="str">
        <f>+'3.1 Balance sheet.'!BJ2</f>
        <v>starfsm.</v>
      </c>
      <c r="AI2" s="154" t="str">
        <f>+'3.1 Balance sheet.'!BF2</f>
        <v>sjóðurinn</v>
      </c>
      <c r="AJ2" s="154" t="str">
        <f>+'3.1 Balance sheet.'!BH2</f>
        <v>K.E.A. </v>
      </c>
      <c r="AK2" s="154" t="str">
        <f>+'3.1 Balance sheet.'!BK2</f>
        <v>Eimskipa-</v>
      </c>
      <c r="AL2" s="154" t="str">
        <f>+'3.1 Balance sheet.'!BN2</f>
        <v>starfsm.</v>
      </c>
      <c r="AM2" s="154" t="str">
        <f>+'3.1 Balance sheet.'!BP2</f>
        <v>Bolungar-</v>
      </c>
      <c r="AN2" s="154" t="str">
        <f>+'3.1 Balance sheet.'!BO2</f>
        <v>Flugvirkjaf.</v>
      </c>
      <c r="AO2" s="154" t="str">
        <f>+'3.1 Balance sheet.'!BQ2</f>
        <v>Rangæinga</v>
      </c>
      <c r="AP2" s="154" t="str">
        <f>+'3.1 Balance sheet.'!BV2</f>
        <v>slökkvilm. á</v>
      </c>
      <c r="AQ2" s="154" t="str">
        <f>+'3.1 Balance sheet.'!BW2</f>
        <v>stm. Kópa-</v>
      </c>
      <c r="AR2" s="154" t="str">
        <f>+'3.1 Balance sheet.'!CC2</f>
        <v>Mjólkur-</v>
      </c>
      <c r="AS2" s="154" t="str">
        <f>+'3.1 Balance sheet.'!BZ2</f>
        <v>Hafnarfj-</v>
      </c>
      <c r="AT2" s="154" t="str">
        <f>+'3.1 Balance sheet.'!CD2</f>
        <v>Tannl.fél.</v>
      </c>
      <c r="AU2" s="154" t="str">
        <f>+'3.1 Balance sheet.'!BX2</f>
        <v>lífeyris-</v>
      </c>
      <c r="AV2" s="154" t="str">
        <f>+'3.1 Balance sheet.'!CF2</f>
        <v>stm. Akur-</v>
      </c>
      <c r="AW2" s="154" t="str">
        <f>+'3.1 Balance sheet.'!CG2</f>
        <v>Akranes-</v>
      </c>
      <c r="AX2" s="154" t="str">
        <f>+'3.1 Balance sheet.'!CH2</f>
        <v>Sláturfélags</v>
      </c>
      <c r="AY2" s="154" t="str">
        <f>+'3.1 Balance sheet.'!BR2</f>
        <v>starfsm.</v>
      </c>
      <c r="AZ2" s="154" t="str">
        <f>+'3.1 Balance sheet.'!CI2</f>
        <v>stm. Olíu-</v>
      </c>
      <c r="BA2" s="154" t="str">
        <f>+'3.1 Balance sheet.'!CK2</f>
        <v>starfsm.</v>
      </c>
      <c r="BB2" s="154" t="str">
        <f>+'3.1 Balance sheet.'!CJ2</f>
        <v>Reykjanes-</v>
      </c>
      <c r="BC2" s="154" t="str">
        <f>+'3.1 Balance sheet.'!CL2</f>
        <v>sjóðurinn</v>
      </c>
      <c r="BD2" s="154" t="str">
        <f>+'3.1 Balance sheet.'!CM2</f>
        <v>stm. Húsa-</v>
      </c>
      <c r="BE2" s="154" t="str">
        <f>+'3.1 Balance sheet.'!CN2</f>
        <v>Neskaup-</v>
      </c>
      <c r="BF2" s="154" t="str">
        <f>+'3.1 Balance sheet.'!CO2</f>
        <v>starfsm. </v>
      </c>
      <c r="BG2" s="154" t="str">
        <f>+'3.1 Balance sheet.'!CP2</f>
        <v>sjóður</v>
      </c>
      <c r="BH2" s="154" t="str">
        <f>+'3.1 Balance sheet.'!CR2</f>
        <v>stm. Vestm-</v>
      </c>
      <c r="BI2" s="154" t="str">
        <f>+'3.1 Balance sheet.'!CS2</f>
        <v>stm. Rvík.-</v>
      </c>
      <c r="BJ2" s="154">
        <f>+'3.1 Balance sheet.'!CU2</f>
        <v>0</v>
      </c>
    </row>
    <row r="3" spans="2:62" ht="12.75">
      <c r="B3" s="154" t="str">
        <f>+'3.1 Balance sheet.'!B3</f>
        <v>manna  </v>
      </c>
      <c r="C3" s="154" t="str">
        <f>+'3.1 Balance sheet.'!D3</f>
        <v>samtals</v>
      </c>
      <c r="D3" s="154" t="str">
        <f>+'3.1 Balance sheet.'!E3</f>
        <v> </v>
      </c>
      <c r="E3" s="154" t="str">
        <f>+'3.1 Balance sheet.'!F3</f>
        <v> </v>
      </c>
      <c r="F3" s="154" t="str">
        <f>+'3.1 Balance sheet.'!G3</f>
        <v>Alþingis-</v>
      </c>
      <c r="G3" s="154" t="str">
        <f>+'3.1 Balance sheet.'!H3</f>
        <v>Ráðherra-</v>
      </c>
      <c r="H3" s="154" t="str">
        <f>+'3.1 Balance sheet.'!J3</f>
        <v> </v>
      </c>
      <c r="I3" s="154" t="str">
        <f>+'3.1 Balance sheet.'!L3</f>
        <v>sjóðurinn</v>
      </c>
      <c r="J3" s="154" t="str">
        <f>+'3.1 Balance sheet.'!P3</f>
        <v> </v>
      </c>
      <c r="K3" s="154" t="str">
        <f>+'3.1 Balance sheet.'!R3</f>
        <v>lands </v>
      </c>
      <c r="L3" s="154" t="str">
        <f>+'3.1 Balance sheet.'!T3</f>
        <v>réttinda</v>
      </c>
      <c r="M3" s="154" t="str">
        <f>+'3.1 Balance sheet.'!V3</f>
        <v>manna</v>
      </c>
      <c r="N3" s="154" t="str">
        <f>+'3.1 Balance sheet.'!AA3</f>
        <v>sjóðurinn</v>
      </c>
      <c r="O3" s="154" t="str">
        <f>+'3.1 Balance sheet.'!Y3</f>
        <v> </v>
      </c>
      <c r="P3" s="154" t="str">
        <f>+'3.1 Balance sheet.'!AC3</f>
        <v>lands </v>
      </c>
      <c r="Q3" s="154" t="str">
        <f>+'3.1 Balance sheet.'!AD3</f>
        <v>firðinga</v>
      </c>
      <c r="R3" s="154" t="str">
        <f>+'3.1 Balance sheet.'!AG3</f>
        <v> </v>
      </c>
      <c r="S3" s="154" t="str">
        <f>+'3.1 Balance sheet.'!AF3</f>
        <v> </v>
      </c>
      <c r="T3" s="154" t="str">
        <f>+'3.1 Balance sheet.'!AI3</f>
        <v>fræðinga</v>
      </c>
      <c r="U3" s="154" t="str">
        <f>+'3.1 Balance sheet.'!AH3</f>
        <v>nesja </v>
      </c>
      <c r="V3" s="154" t="str">
        <f>+'3.1 Balance sheet.'!AK3</f>
        <v>eyja </v>
      </c>
      <c r="W3" s="154" t="str">
        <f>+'3.1 Balance sheet.'!AM3</f>
        <v>sjóðurinn</v>
      </c>
      <c r="X3" s="154" t="str">
        <f>+'3.1 Balance sheet.'!AR3</f>
        <v>lands </v>
      </c>
      <c r="Y3" s="154" t="str">
        <f>+'3.1 Balance sheet.'!AO3</f>
        <v>VÍB   </v>
      </c>
      <c r="Z3" s="154" t="str">
        <f>+'3.1 Balance sheet.'!AQ3</f>
        <v>fræðinga </v>
      </c>
      <c r="AA3" s="154" t="str">
        <f>+'3.1 Balance sheet.'!AT3</f>
        <v>FÍA</v>
      </c>
      <c r="AB3" s="154" t="str">
        <f>+'3.1 Balance sheet.'!AX3</f>
        <v>Búnaðarb.</v>
      </c>
      <c r="AC3" s="154" t="str">
        <f>+'3.1 Balance sheet.'!AV3</f>
        <v>Eining</v>
      </c>
      <c r="AD3" s="154" t="str">
        <f>+'3.1 Balance sheet.'!AY3</f>
        <v>tæknifr.</v>
      </c>
      <c r="AE3" s="154">
        <f>+'3.1 Balance sheet.'!BA3</f>
        <v>0</v>
      </c>
      <c r="AF3" s="154" t="str">
        <f>+'3.1 Balance sheet.'!BB3</f>
        <v>sjóðurinn </v>
      </c>
      <c r="AG3" s="154" t="str">
        <f>+'3.1 Balance sheet.'!BD3</f>
        <v>Norðurl. v</v>
      </c>
      <c r="AH3" s="154" t="str">
        <f>+'3.1 Balance sheet.'!BJ3</f>
        <v>Reykjavb.</v>
      </c>
      <c r="AI3" s="154" t="str">
        <f>+'3.1 Balance sheet.'!BF3</f>
        <v>Hlíf</v>
      </c>
      <c r="AJ3" s="154">
        <f>+'3.1 Balance sheet.'!BH3</f>
        <v>0</v>
      </c>
      <c r="AK3" s="154" t="str">
        <f>+'3.1 Balance sheet.'!BK3</f>
        <v>félags Ísl.</v>
      </c>
      <c r="AL3" s="154" t="str">
        <f>+'3.1 Balance sheet.'!BN3</f>
        <v>Íslandsb. hf.</v>
      </c>
      <c r="AM3" s="154" t="str">
        <f>+'3.1 Balance sheet.'!BP3</f>
        <v>víkur</v>
      </c>
      <c r="AN3" s="154" t="str">
        <f>+'3.1 Balance sheet.'!BO3</f>
        <v>Íslands</v>
      </c>
      <c r="AO3" s="154">
        <f>+'3.1 Balance sheet.'!BQ3</f>
        <v>0</v>
      </c>
      <c r="AP3" s="154" t="str">
        <f>+'3.1 Balance sheet.'!BV3</f>
        <v>Keflavflugv.</v>
      </c>
      <c r="AQ3" s="154" t="str">
        <f>+'3.1 Balance sheet.'!BW3</f>
        <v>vogskaupst.</v>
      </c>
      <c r="AR3" s="154" t="str">
        <f>+'3.1 Balance sheet.'!CC3</f>
        <v>samsöl.</v>
      </c>
      <c r="AS3" s="154" t="str">
        <f>+'3.1 Balance sheet.'!BZ3</f>
        <v>kaupst. </v>
      </c>
      <c r="AT3" s="154" t="str">
        <f>+'3.1 Balance sheet.'!CD3</f>
        <v>Íslands </v>
      </c>
      <c r="AU3" s="154" t="str">
        <f>+'3.1 Balance sheet.'!BX3</f>
        <v>sjóðurinn</v>
      </c>
      <c r="AV3" s="154" t="str">
        <f>+'3.1 Balance sheet.'!CF3</f>
        <v>eyrarbæjar</v>
      </c>
      <c r="AW3" s="154" t="str">
        <f>+'3.1 Balance sheet.'!CG3</f>
        <v>kaupst.</v>
      </c>
      <c r="AX3" s="154" t="str">
        <f>+'3.1 Balance sheet.'!CH3</f>
        <v>Suðurlands</v>
      </c>
      <c r="AY3" s="154" t="str">
        <f>+'3.1 Balance sheet.'!BR3</f>
        <v>sveitarfél.</v>
      </c>
      <c r="AZ3" s="154" t="str">
        <f>+'3.1 Balance sheet.'!CI3</f>
        <v>versl. Ísl.</v>
      </c>
      <c r="BA3" s="154" t="str">
        <f>+'3.1 Balance sheet.'!CK3</f>
        <v>Áburðarv.</v>
      </c>
      <c r="BB3" s="154" t="str">
        <f>+'3.1 Balance sheet.'!CJ3</f>
        <v>bæjar  </v>
      </c>
      <c r="BC3" s="154" t="str">
        <f>+'3.1 Balance sheet.'!CL3</f>
        <v>Skjöldur</v>
      </c>
      <c r="BD3" s="154" t="str">
        <f>+'3.1 Balance sheet.'!CM3</f>
        <v>víkurbæjar</v>
      </c>
      <c r="BE3" s="154" t="str">
        <f>+'3.1 Balance sheet.'!CN3</f>
        <v>staðar </v>
      </c>
      <c r="BF3" s="154" t="str">
        <f>+'3.1 Balance sheet.'!CO3</f>
        <v>Útvegsb. Ísl.</v>
      </c>
      <c r="BG3" s="154" t="str">
        <f>+'3.1 Balance sheet.'!CP3</f>
        <v>lækna</v>
      </c>
      <c r="BH3" s="154" t="str">
        <f>+'3.1 Balance sheet.'!CR3</f>
        <v>eyjabæjar</v>
      </c>
      <c r="BI3" s="154" t="str">
        <f>+'3.1 Balance sheet.'!CS3</f>
        <v>apóteks </v>
      </c>
      <c r="BJ3" s="154">
        <f>+'3.1 Balance sheet.'!CU3</f>
        <v>0</v>
      </c>
    </row>
    <row r="4" spans="2:62" ht="12.75">
      <c r="B4" s="154" t="str">
        <f>+'3.1 Balance sheet.'!B4</f>
        <v>      (1)</v>
      </c>
      <c r="C4" s="154" t="str">
        <f>+'3.1 Balance sheet.'!D4</f>
        <v>(2)</v>
      </c>
      <c r="D4" s="154" t="str">
        <f>+'3.1 Balance sheet.'!E4</f>
        <v>B-deild</v>
      </c>
      <c r="E4" s="154" t="str">
        <f>+'3.1 Balance sheet.'!F4</f>
        <v>A-deild</v>
      </c>
      <c r="F4" s="154" t="str">
        <f>+'3.1 Balance sheet.'!G4</f>
        <v>mannadeild</v>
      </c>
      <c r="G4" s="154" t="str">
        <f>+'3.1 Balance sheet.'!H4</f>
        <v>deild</v>
      </c>
      <c r="H4" s="154" t="str">
        <f>+'3.1 Balance sheet.'!J4</f>
        <v>(3)</v>
      </c>
      <c r="I4" s="154" t="str">
        <f>+'3.1 Balance sheet.'!L4</f>
        <v>(4)</v>
      </c>
      <c r="J4" s="154" t="str">
        <f>+'3.1 Balance sheet.'!P4</f>
        <v>(5)</v>
      </c>
      <c r="K4" s="154" t="str">
        <f>+'3.1 Balance sheet.'!R4</f>
        <v>(6)</v>
      </c>
      <c r="L4" s="154" t="str">
        <f>+'3.1 Balance sheet.'!T4</f>
        <v>(7)</v>
      </c>
      <c r="M4" s="154" t="str">
        <f>+'3.1 Balance sheet.'!V4</f>
        <v>(8)</v>
      </c>
      <c r="N4" s="154" t="str">
        <f>+'3.1 Balance sheet.'!AA4</f>
        <v>(10)</v>
      </c>
      <c r="O4" s="154" t="str">
        <f>+'3.1 Balance sheet.'!Y4</f>
        <v>(9)</v>
      </c>
      <c r="P4" s="154" t="str">
        <f>+'3.1 Balance sheet.'!AC4</f>
        <v>(11)</v>
      </c>
      <c r="Q4" s="154" t="str">
        <f>+'3.1 Balance sheet.'!AD4</f>
        <v>(12)</v>
      </c>
      <c r="R4" s="154" t="str">
        <f>+'3.1 Balance sheet.'!AG4</f>
        <v>(14)</v>
      </c>
      <c r="S4" s="154" t="str">
        <f>+'3.1 Balance sheet.'!AF4</f>
        <v>(13)</v>
      </c>
      <c r="T4" s="154" t="str">
        <f>+'3.1 Balance sheet.'!AI4</f>
        <v>(16)</v>
      </c>
      <c r="U4" s="154" t="str">
        <f>+'3.1 Balance sheet.'!AH4</f>
        <v>(15)</v>
      </c>
      <c r="V4" s="154" t="str">
        <f>+'3.1 Balance sheet.'!AK4</f>
        <v>(17)</v>
      </c>
      <c r="W4" s="154" t="str">
        <f>+'3.1 Balance sheet.'!AM4</f>
        <v>(18)</v>
      </c>
      <c r="X4" s="154" t="str">
        <f>+'3.1 Balance sheet.'!AR4</f>
        <v>(21)</v>
      </c>
      <c r="Y4" s="154" t="str">
        <f>+'3.1 Balance sheet.'!AO4</f>
        <v>(19)</v>
      </c>
      <c r="Z4" s="154" t="str">
        <f>+'3.1 Balance sheet.'!AQ4</f>
        <v>(20)</v>
      </c>
      <c r="AA4" s="154" t="str">
        <f>+'3.1 Balance sheet.'!AT4</f>
        <v>(22)</v>
      </c>
      <c r="AB4" s="154" t="str">
        <f>+'3.1 Balance sheet.'!AX4</f>
        <v>(24)</v>
      </c>
      <c r="AC4" s="154" t="str">
        <f>+'3.1 Balance sheet.'!AV4</f>
        <v>(23)</v>
      </c>
      <c r="AD4" s="154" t="str">
        <f>+'3.1 Balance sheet.'!AY4</f>
        <v>(25)</v>
      </c>
      <c r="AE4" s="154" t="str">
        <f>+'3.1 Balance sheet.'!BA4</f>
        <v>(26)</v>
      </c>
      <c r="AF4" s="154" t="str">
        <f>+'3.1 Balance sheet.'!BB4</f>
        <v>(27)</v>
      </c>
      <c r="AG4" s="154" t="str">
        <f>+'3.1 Balance sheet.'!BD4</f>
        <v>(28)</v>
      </c>
      <c r="AH4" s="154" t="str">
        <f>+'3.1 Balance sheet.'!BJ4</f>
        <v>(31)</v>
      </c>
      <c r="AI4" s="154" t="str">
        <f>+'3.1 Balance sheet.'!BF4</f>
        <v>(29)</v>
      </c>
      <c r="AJ4" s="154" t="str">
        <f>+'3.1 Balance sheet.'!BH4</f>
        <v>(30)</v>
      </c>
      <c r="AK4" s="154" t="str">
        <f>+'3.1 Balance sheet.'!BK4</f>
        <v>(32)</v>
      </c>
      <c r="AL4" s="154" t="str">
        <f>+'3.1 Balance sheet.'!BN4</f>
        <v>(33)</v>
      </c>
      <c r="AM4" s="154" t="str">
        <f>+'3.1 Balance sheet.'!BP4</f>
        <v>(35)</v>
      </c>
      <c r="AN4" s="154" t="str">
        <f>+'3.1 Balance sheet.'!BO4</f>
        <v>(34)</v>
      </c>
      <c r="AO4" s="154" t="str">
        <f>+'3.1 Balance sheet.'!BQ4</f>
        <v>(36)</v>
      </c>
      <c r="AP4" s="154" t="str">
        <f>+'3.1 Balance sheet.'!BV4</f>
        <v>(38)</v>
      </c>
      <c r="AQ4" s="154" t="str">
        <f>+'3.1 Balance sheet.'!BW4</f>
        <v>(39)</v>
      </c>
      <c r="AR4" s="154" t="str">
        <f>+'3.1 Balance sheet.'!CC4</f>
        <v>(42)</v>
      </c>
      <c r="AS4" s="154" t="str">
        <f>+'3.1 Balance sheet.'!BZ4</f>
        <v>(41)</v>
      </c>
      <c r="AT4" s="154" t="str">
        <f>+'3.1 Balance sheet.'!CD4</f>
        <v>(43)</v>
      </c>
      <c r="AU4" s="154" t="str">
        <f>+'3.1 Balance sheet.'!BX4</f>
        <v>(40)</v>
      </c>
      <c r="AV4" s="154" t="str">
        <f>+'3.1 Balance sheet.'!CF4</f>
        <v>(44)</v>
      </c>
      <c r="AW4" s="154" t="str">
        <f>+'3.1 Balance sheet.'!CG4</f>
        <v>(45)</v>
      </c>
      <c r="AX4" s="154" t="str">
        <f>+'3.1 Balance sheet.'!CH4</f>
        <v>(46)</v>
      </c>
      <c r="AY4" s="154" t="str">
        <f>+'3.1 Balance sheet.'!BR4</f>
        <v>(37)</v>
      </c>
      <c r="AZ4" s="154" t="str">
        <f>+'3.1 Balance sheet.'!CI4</f>
        <v>(47)</v>
      </c>
      <c r="BA4" s="154" t="str">
        <f>+'3.1 Balance sheet.'!CK4</f>
        <v>(49)</v>
      </c>
      <c r="BB4" s="154" t="str">
        <f>+'3.1 Balance sheet.'!CJ4</f>
        <v>(48)</v>
      </c>
      <c r="BC4" s="154" t="str">
        <f>+'3.1 Balance sheet.'!CL4</f>
        <v>(50)</v>
      </c>
      <c r="BD4" s="154" t="str">
        <f>+'3.1 Balance sheet.'!CM4</f>
        <v>(51)</v>
      </c>
      <c r="BE4" s="154" t="str">
        <f>+'3.1 Balance sheet.'!CN4</f>
        <v>(52)</v>
      </c>
      <c r="BF4" s="154" t="str">
        <f>+'3.1 Balance sheet.'!CO4</f>
        <v>(53)</v>
      </c>
      <c r="BG4" s="154" t="str">
        <f>+'3.1 Balance sheet.'!CP4</f>
        <v>(54)</v>
      </c>
      <c r="BH4" s="154" t="str">
        <f>+'3.1 Balance sheet.'!CR4</f>
        <v>(55)</v>
      </c>
      <c r="BI4" s="154" t="str">
        <f>+'3.1 Balance sheet.'!CS4</f>
        <v>(56)</v>
      </c>
      <c r="BJ4" s="154">
        <f>+'3.1 Balance sheet.'!CU4</f>
        <v>0</v>
      </c>
    </row>
    <row r="5" spans="1:2" ht="12.75">
      <c r="A5" s="153" t="s">
        <v>364</v>
      </c>
      <c r="B5" s="153"/>
    </row>
    <row r="6" spans="1:62" ht="12.75">
      <c r="A6" s="153" t="s">
        <v>308</v>
      </c>
      <c r="B6" s="154">
        <f>+'3.1 Balance sheet.'!B58</f>
        <v>85686756.101</v>
      </c>
      <c r="C6" s="154">
        <f>+'3.1 Balance sheet.'!D58</f>
        <v>76087894</v>
      </c>
      <c r="D6" s="154">
        <f>+'3.1 Balance sheet.'!E58</f>
        <v>63079254</v>
      </c>
      <c r="E6" s="154">
        <f>+'3.1 Balance sheet.'!F58</f>
        <v>12477373</v>
      </c>
      <c r="F6" s="154">
        <f>+'3.1 Balance sheet.'!G58</f>
        <v>75739</v>
      </c>
      <c r="G6" s="154">
        <f>+'3.1 Balance sheet.'!H58</f>
        <v>13166</v>
      </c>
      <c r="H6" s="154">
        <f>+'3.1 Balance sheet.'!J58</f>
        <v>48084459.601</v>
      </c>
      <c r="I6" s="154">
        <f>+'3.1 Balance sheet.'!L58</f>
        <v>42083354</v>
      </c>
      <c r="J6" s="154">
        <f>+'3.1 Balance sheet.'!P58</f>
        <v>41161795.553</v>
      </c>
      <c r="K6" s="154">
        <f>+'3.1 Balance sheet.'!R58</f>
        <v>19504233.303000003</v>
      </c>
      <c r="L6" s="154">
        <f>+'3.1 Balance sheet.'!T58</f>
        <v>19242728.762</v>
      </c>
      <c r="M6" s="154">
        <f>+'3.1 Balance sheet.'!V58</f>
        <v>17598639.455000002</v>
      </c>
      <c r="N6" s="154">
        <f>+'3.1 Balance sheet.'!AA58</f>
        <v>15604177.188</v>
      </c>
      <c r="O6" s="154">
        <f>+'3.1 Balance sheet.'!Y58</f>
        <v>16277232.524999999</v>
      </c>
      <c r="P6" s="154">
        <f>+'3.1 Balance sheet.'!AC58</f>
        <v>13854583.112</v>
      </c>
      <c r="Q6" s="154">
        <f>+'3.1 Balance sheet.'!AD58</f>
        <v>12238127.661999999</v>
      </c>
      <c r="R6" s="154">
        <f>+'3.1 Balance sheet.'!AG58</f>
        <v>11518068.324</v>
      </c>
      <c r="S6" s="154">
        <f>+'3.1 Balance sheet.'!AF58</f>
        <v>11742474</v>
      </c>
      <c r="T6" s="154">
        <f>+'3.1 Balance sheet.'!AI58</f>
        <v>10643354.852</v>
      </c>
      <c r="U6" s="154">
        <f>+'3.1 Balance sheet.'!AH58</f>
        <v>11013505.986999996</v>
      </c>
      <c r="V6" s="154">
        <f>+'3.1 Balance sheet.'!AK58</f>
        <v>10045948.616</v>
      </c>
      <c r="W6" s="154">
        <f>+'3.1 Balance sheet.'!AM58</f>
        <v>8862556.575999998</v>
      </c>
      <c r="X6" s="154">
        <f>+'3.1 Balance sheet.'!AR58</f>
        <v>7189223.631000001</v>
      </c>
      <c r="Y6" s="154">
        <f>+'3.1 Balance sheet.'!AO58</f>
        <v>8503536.481</v>
      </c>
      <c r="Z6" s="154">
        <f>+'3.1 Balance sheet.'!AQ58</f>
        <v>7504773.404</v>
      </c>
      <c r="AA6" s="154">
        <f>+'3.1 Balance sheet.'!AT58</f>
        <v>6772942.002</v>
      </c>
      <c r="AB6" s="154">
        <f>+'3.1 Balance sheet.'!AX58</f>
        <v>6070779.312</v>
      </c>
      <c r="AC6" s="154">
        <f>+'3.1 Balance sheet.'!AV58</f>
        <v>6457411</v>
      </c>
      <c r="AD6" s="154">
        <f>+'3.1 Balance sheet.'!AY58</f>
        <v>5557691.871</v>
      </c>
      <c r="AE6" s="154">
        <f>+'3.1 Balance sheet.'!BA58</f>
        <v>5212573.930000001</v>
      </c>
      <c r="AF6" s="154">
        <f>+'3.1 Balance sheet.'!BB58</f>
        <v>4023612.5909999995</v>
      </c>
      <c r="AG6" s="154">
        <f>+'3.1 Balance sheet.'!BD58</f>
        <v>3291736.781</v>
      </c>
      <c r="AH6" s="154">
        <f>+'3.1 Balance sheet.'!BJ58</f>
        <v>3006691.239</v>
      </c>
      <c r="AI6" s="154">
        <f>+'3.1 Balance sheet.'!BF58</f>
        <v>3214727.503</v>
      </c>
      <c r="AJ6" s="154">
        <f>+'3.1 Balance sheet.'!BH58</f>
        <v>3100530.392</v>
      </c>
      <c r="AK6" s="154">
        <f>+'3.1 Balance sheet.'!BK58</f>
        <v>2521492.9269999997</v>
      </c>
      <c r="AL6" s="154">
        <f>+'3.1 Balance sheet.'!BN58</f>
        <v>2370870.444</v>
      </c>
      <c r="AM6" s="154">
        <f>+'3.1 Balance sheet.'!BP58</f>
        <v>1977470.5299999998</v>
      </c>
      <c r="AN6" s="154">
        <f>+'3.1 Balance sheet.'!BO58</f>
        <v>1993433.8839999998</v>
      </c>
      <c r="AO6" s="154">
        <f>+'3.1 Balance sheet.'!BQ58</f>
        <v>1875175.0809999998</v>
      </c>
      <c r="AP6" s="154">
        <f>+'3.1 Balance sheet.'!BV58</f>
        <v>1438769.4400000002</v>
      </c>
      <c r="AQ6" s="154">
        <f>+'3.1 Balance sheet.'!BW58</f>
        <v>1349221.5779999997</v>
      </c>
      <c r="AR6" s="154">
        <f>+'3.1 Balance sheet.'!CC58</f>
        <v>1185731.7540000002</v>
      </c>
      <c r="AS6" s="154">
        <f>+'3.1 Balance sheet.'!BZ58</f>
        <v>1251769.76</v>
      </c>
      <c r="AT6" s="154">
        <f>+'3.1 Balance sheet.'!CD58</f>
        <v>1068011.868</v>
      </c>
      <c r="AU6" s="154">
        <f>+'3.1 Balance sheet.'!BX58</f>
        <v>1310949.2810000002</v>
      </c>
      <c r="AV6" s="154">
        <f>+'3.1 Balance sheet.'!CF58</f>
        <v>1057372.815</v>
      </c>
      <c r="AW6" s="154">
        <f>+'3.1 Balance sheet.'!CG58</f>
        <v>766054.3920000001</v>
      </c>
      <c r="AX6" s="154">
        <f>+'3.1 Balance sheet.'!CH58</f>
        <v>637155.9360000001</v>
      </c>
      <c r="AY6" s="154">
        <f>+'3.1 Balance sheet.'!BR58</f>
        <v>1483263.403</v>
      </c>
      <c r="AZ6" s="154">
        <f>+'3.1 Balance sheet.'!CI58</f>
        <v>581733.557</v>
      </c>
      <c r="BA6" s="154">
        <f>+'3.1 Balance sheet.'!CK58</f>
        <v>447038.21</v>
      </c>
      <c r="BB6" s="154">
        <f>+'3.1 Balance sheet.'!CJ58</f>
        <v>467591.85500000004</v>
      </c>
      <c r="BC6" s="154">
        <f>+'3.1 Balance sheet.'!CL58</f>
        <v>417759.473</v>
      </c>
      <c r="BD6" s="154">
        <f>+'3.1 Balance sheet.'!CM58</f>
        <v>287199.532</v>
      </c>
      <c r="BE6" s="154">
        <f>+'3.1 Balance sheet.'!CN58</f>
        <v>165173.83800000002</v>
      </c>
      <c r="BF6" s="154">
        <f>+'3.1 Balance sheet.'!CO58</f>
        <v>109293.43900000001</v>
      </c>
      <c r="BG6" s="154">
        <f>+'3.1 Balance sheet.'!CP58</f>
        <v>84170.347</v>
      </c>
      <c r="BH6" s="154">
        <f>+'3.1 Balance sheet.'!CR58</f>
        <v>76119.492</v>
      </c>
      <c r="BI6" s="154">
        <f>+'3.1 Balance sheet.'!CS58</f>
        <v>8910.2</v>
      </c>
      <c r="BJ6" s="154">
        <f>+'3.1 Balance sheet.'!CU58</f>
        <v>0</v>
      </c>
    </row>
    <row r="7" spans="1:62" ht="12.75">
      <c r="A7" t="s">
        <v>366</v>
      </c>
      <c r="B7" s="154">
        <f>+'3.2 Chaneges'!B68</f>
        <v>85686756.338</v>
      </c>
      <c r="C7" s="154">
        <f>+'3.2 Chaneges'!D68</f>
        <v>76087893.681</v>
      </c>
      <c r="D7" s="154">
        <f>+'3.2 Chaneges'!E68</f>
        <v>63079254</v>
      </c>
      <c r="E7" s="154">
        <f>+'3.2 Chaneges'!F68</f>
        <v>12477373</v>
      </c>
      <c r="F7" s="154">
        <f>+'3.2 Chaneges'!G68</f>
        <v>75739</v>
      </c>
      <c r="G7" s="154">
        <f>+'3.2 Chaneges'!H68</f>
        <v>13166</v>
      </c>
      <c r="H7" s="154">
        <f>+'3.2 Chaneges'!J68</f>
        <v>48084459.935</v>
      </c>
      <c r="I7" s="154">
        <f>+'3.2 Chaneges'!L68</f>
        <v>42083353.864999995</v>
      </c>
      <c r="J7" s="154">
        <f>+'3.2 Chaneges'!P68</f>
        <v>41161795.553</v>
      </c>
      <c r="K7" s="154">
        <f>+'3.2 Chaneges'!R68</f>
        <v>19504233.302</v>
      </c>
      <c r="L7" s="154">
        <f>+'3.2 Chaneges'!T68</f>
        <v>19242728.761</v>
      </c>
      <c r="M7" s="154">
        <f>+'3.2 Chaneges'!V68</f>
        <v>17598639.454</v>
      </c>
      <c r="N7" s="154">
        <f>+'3.2 Chaneges'!AA68</f>
        <v>15604177.188</v>
      </c>
      <c r="O7" s="154">
        <f>+'3.2 Chaneges'!Y68</f>
        <v>16277232.525</v>
      </c>
      <c r="P7" s="154">
        <f>+'3.2 Chaneges'!AC68</f>
        <v>13854583.113</v>
      </c>
      <c r="Q7" s="154">
        <f>+'3.2 Chaneges'!AD68</f>
        <v>12238127.661999999</v>
      </c>
      <c r="R7" s="154">
        <f>+'3.2 Chaneges'!AG68</f>
        <v>11518068.324</v>
      </c>
      <c r="S7" s="154">
        <f>+'3.2 Chaneges'!AF68</f>
        <v>11742473.701</v>
      </c>
      <c r="T7" s="154">
        <f>+'3.2 Chaneges'!AI68</f>
        <v>10643354.852</v>
      </c>
      <c r="U7" s="154">
        <f>+'3.2 Chaneges'!AH68</f>
        <v>11013505.987</v>
      </c>
      <c r="V7" s="154">
        <f>+'3.2 Chaneges'!AK68</f>
        <v>10045948.617</v>
      </c>
      <c r="W7" s="154">
        <f>+'3.2 Chaneges'!AM68</f>
        <v>8862556.757</v>
      </c>
      <c r="X7" s="154">
        <f>+'3.2 Chaneges'!AR68</f>
        <v>7189223.630999999</v>
      </c>
      <c r="Y7" s="154">
        <f>+'3.2 Chaneges'!AO68</f>
        <v>8503536.481</v>
      </c>
      <c r="Z7" s="154">
        <f>+'3.2 Chaneges'!AQ68</f>
        <v>7504773.403999999</v>
      </c>
      <c r="AA7" s="154">
        <f>+'3.2 Chaneges'!AT68</f>
        <v>6772942.002</v>
      </c>
      <c r="AB7" s="154">
        <f>+'3.2 Chaneges'!AX68</f>
        <v>6070779.312</v>
      </c>
      <c r="AC7" s="154">
        <f>+'3.2 Chaneges'!AV68</f>
        <v>6457411</v>
      </c>
      <c r="AD7" s="154">
        <f>+'3.2 Chaneges'!AY68</f>
        <v>5557691.8719999995</v>
      </c>
      <c r="AE7" s="154">
        <f>+'3.2 Chaneges'!BA68</f>
        <v>5212573.93</v>
      </c>
      <c r="AF7" s="154">
        <f>+'3.2 Chaneges'!BB68</f>
        <v>4023612.5889999997</v>
      </c>
      <c r="AG7" s="154">
        <f>+'3.2 Chaneges'!BD68</f>
        <v>3291736.7810000004</v>
      </c>
      <c r="AH7" s="154">
        <f>+'3.2 Chaneges'!BJ68</f>
        <v>3006691.239</v>
      </c>
      <c r="AI7" s="154">
        <f>+'3.2 Chaneges'!BF68</f>
        <v>3214727.503</v>
      </c>
      <c r="AJ7" s="154">
        <f>+'3.2 Chaneges'!BH68</f>
        <v>3100530.392</v>
      </c>
      <c r="AK7" s="154">
        <f>+'3.2 Chaneges'!BK68</f>
        <v>2521492.9269999997</v>
      </c>
      <c r="AL7" s="154">
        <f>+'3.2 Chaneges'!BN68</f>
        <v>2370870.444</v>
      </c>
      <c r="AM7" s="154">
        <f>+'3.2 Chaneges'!BP68</f>
        <v>1977470.53</v>
      </c>
      <c r="AN7" s="154">
        <f>+'3.2 Chaneges'!BO68</f>
        <v>1993433.885</v>
      </c>
      <c r="AO7" s="154">
        <f>+'3.2 Chaneges'!BQ68</f>
        <v>1875175.081</v>
      </c>
      <c r="AP7" s="154">
        <f>+'3.2 Chaneges'!BV68</f>
        <v>1438769.44</v>
      </c>
      <c r="AQ7" s="154">
        <f>+'3.2 Chaneges'!BW68</f>
        <v>1349221.5779999997</v>
      </c>
      <c r="AR7" s="154">
        <f>+'3.2 Chaneges'!CC68</f>
        <v>1185731.7540000002</v>
      </c>
      <c r="AS7" s="154">
        <f>+'3.2 Chaneges'!BZ68</f>
        <v>1251769.76</v>
      </c>
      <c r="AT7" s="154">
        <f>+'3.2 Chaneges'!CD68</f>
        <v>1068011.868</v>
      </c>
      <c r="AU7" s="154">
        <f>+'3.2 Chaneges'!BX68</f>
        <v>1310949.28</v>
      </c>
      <c r="AV7" s="154">
        <f>+'3.2 Chaneges'!CF68</f>
        <v>1057372.817</v>
      </c>
      <c r="AW7" s="154">
        <f>+'3.2 Chaneges'!CG68</f>
        <v>766054.392</v>
      </c>
      <c r="AX7" s="154">
        <f>+'3.2 Chaneges'!CH68</f>
        <v>637155.467</v>
      </c>
      <c r="AY7" s="154">
        <f>+'3.2 Chaneges'!BR68</f>
        <v>1483263.402</v>
      </c>
      <c r="AZ7" s="154">
        <f>+'3.2 Chaneges'!CI68</f>
        <v>581733.557</v>
      </c>
      <c r="BA7" s="154">
        <f>+'3.2 Chaneges'!CK68</f>
        <v>447038.21</v>
      </c>
      <c r="BB7" s="154">
        <f>+'3.2 Chaneges'!CJ68</f>
        <v>467591.85500000004</v>
      </c>
      <c r="BC7" s="154">
        <f>+'3.2 Chaneges'!CL68</f>
        <v>417760.24600000004</v>
      </c>
      <c r="BD7" s="154">
        <f>+'3.2 Chaneges'!CM68</f>
        <v>287199.532</v>
      </c>
      <c r="BE7" s="154">
        <f>+'3.2 Chaneges'!CN68</f>
        <v>165173.837</v>
      </c>
      <c r="BF7" s="154">
        <f>+'3.2 Chaneges'!CO68</f>
        <v>109293.43899999995</v>
      </c>
      <c r="BG7" s="154">
        <f>+'3.2 Chaneges'!CP68</f>
        <v>84170.35</v>
      </c>
      <c r="BH7" s="154">
        <f>+'3.2 Chaneges'!CR68</f>
        <v>76119.492</v>
      </c>
      <c r="BI7" s="154">
        <f>+'3.2 Chaneges'!CS68</f>
        <v>8910.2</v>
      </c>
      <c r="BJ7" s="154">
        <f>+'3.2 Chaneges'!CU68</f>
        <v>0</v>
      </c>
    </row>
    <row r="8" spans="2:62" s="155" customFormat="1" ht="12.75">
      <c r="B8" s="156">
        <f>+B6-B7</f>
        <v>-0.2370000034570694</v>
      </c>
      <c r="C8" s="156">
        <f aca="true" t="shared" si="0" ref="C8:BJ8">+C6-C7</f>
        <v>0.3190000057220459</v>
      </c>
      <c r="D8" s="156">
        <f t="shared" si="0"/>
        <v>0</v>
      </c>
      <c r="E8" s="156">
        <f t="shared" si="0"/>
        <v>0</v>
      </c>
      <c r="F8" s="156">
        <f t="shared" si="0"/>
        <v>0</v>
      </c>
      <c r="G8" s="156">
        <f t="shared" si="0"/>
        <v>0</v>
      </c>
      <c r="H8" s="156">
        <f t="shared" si="0"/>
        <v>-0.33399999886751175</v>
      </c>
      <c r="I8" s="156">
        <f t="shared" si="0"/>
        <v>0.13500000536441803</v>
      </c>
      <c r="J8" s="156">
        <f t="shared" si="0"/>
        <v>0</v>
      </c>
      <c r="K8" s="156">
        <f t="shared" si="0"/>
        <v>0.0010000020265579224</v>
      </c>
      <c r="L8" s="156">
        <f t="shared" si="0"/>
        <v>0.000999998301267624</v>
      </c>
      <c r="M8" s="156">
        <f t="shared" si="0"/>
        <v>0.0010000020265579224</v>
      </c>
      <c r="N8" s="156">
        <f t="shared" si="0"/>
        <v>0</v>
      </c>
      <c r="O8" s="156">
        <f t="shared" si="0"/>
        <v>0</v>
      </c>
      <c r="P8" s="156">
        <f t="shared" si="0"/>
        <v>-0.0010000001639127731</v>
      </c>
      <c r="Q8" s="156">
        <f t="shared" si="0"/>
        <v>0</v>
      </c>
      <c r="R8" s="156">
        <f t="shared" si="0"/>
        <v>0</v>
      </c>
      <c r="S8" s="156">
        <f t="shared" si="0"/>
        <v>0.2990000005811453</v>
      </c>
      <c r="T8" s="156">
        <f t="shared" si="0"/>
        <v>0</v>
      </c>
      <c r="U8" s="156">
        <f t="shared" si="0"/>
        <v>0</v>
      </c>
      <c r="V8" s="156">
        <f t="shared" si="0"/>
        <v>-0.0010000001639127731</v>
      </c>
      <c r="W8" s="156">
        <f t="shared" si="0"/>
        <v>-0.1810000017285347</v>
      </c>
      <c r="X8" s="156">
        <f t="shared" si="0"/>
        <v>0</v>
      </c>
      <c r="Y8" s="156">
        <f t="shared" si="0"/>
        <v>0</v>
      </c>
      <c r="Z8" s="156">
        <f t="shared" si="0"/>
        <v>0</v>
      </c>
      <c r="AA8" s="156">
        <f t="shared" si="0"/>
        <v>0</v>
      </c>
      <c r="AB8" s="156">
        <f t="shared" si="0"/>
        <v>0</v>
      </c>
      <c r="AC8" s="156">
        <f t="shared" si="0"/>
        <v>0</v>
      </c>
      <c r="AD8" s="156">
        <f t="shared" si="0"/>
        <v>-0.0009999992325901985</v>
      </c>
      <c r="AE8" s="156">
        <f t="shared" si="0"/>
        <v>0</v>
      </c>
      <c r="AF8" s="156">
        <f t="shared" si="0"/>
        <v>0.001999999862164259</v>
      </c>
      <c r="AG8" s="156">
        <f t="shared" si="0"/>
        <v>0</v>
      </c>
      <c r="AH8" s="156">
        <f t="shared" si="0"/>
        <v>0</v>
      </c>
      <c r="AI8" s="156">
        <f t="shared" si="0"/>
        <v>0</v>
      </c>
      <c r="AJ8" s="156">
        <f t="shared" si="0"/>
        <v>0</v>
      </c>
      <c r="AK8" s="156">
        <f t="shared" si="0"/>
        <v>0</v>
      </c>
      <c r="AL8" s="156">
        <f t="shared" si="0"/>
        <v>0</v>
      </c>
      <c r="AM8" s="156">
        <f t="shared" si="0"/>
        <v>0</v>
      </c>
      <c r="AN8" s="156">
        <f t="shared" si="0"/>
        <v>-0.0010000001639127731</v>
      </c>
      <c r="AO8" s="156">
        <f t="shared" si="0"/>
        <v>0</v>
      </c>
      <c r="AP8" s="156">
        <f t="shared" si="0"/>
        <v>0</v>
      </c>
      <c r="AQ8" s="156">
        <f t="shared" si="0"/>
        <v>0</v>
      </c>
      <c r="AR8" s="156">
        <f t="shared" si="0"/>
        <v>0</v>
      </c>
      <c r="AS8" s="156">
        <f t="shared" si="0"/>
        <v>0</v>
      </c>
      <c r="AT8" s="156">
        <f t="shared" si="0"/>
        <v>0</v>
      </c>
      <c r="AU8" s="156">
        <f t="shared" si="0"/>
        <v>0.0010000001639127731</v>
      </c>
      <c r="AV8" s="156">
        <f t="shared" si="0"/>
        <v>-0.0020000000949949026</v>
      </c>
      <c r="AW8" s="156">
        <f t="shared" si="0"/>
        <v>0</v>
      </c>
      <c r="AX8" s="156">
        <f t="shared" si="0"/>
        <v>0.4690000001573935</v>
      </c>
      <c r="AY8" s="156">
        <f t="shared" si="0"/>
        <v>0.0009999999310821295</v>
      </c>
      <c r="AZ8" s="156">
        <f t="shared" si="0"/>
        <v>0</v>
      </c>
      <c r="BA8" s="156">
        <f t="shared" si="0"/>
        <v>0</v>
      </c>
      <c r="BB8" s="156">
        <f t="shared" si="0"/>
        <v>0</v>
      </c>
      <c r="BC8" s="156">
        <f t="shared" si="0"/>
        <v>-0.7730000000447035</v>
      </c>
      <c r="BD8" s="156">
        <f t="shared" si="0"/>
        <v>0</v>
      </c>
      <c r="BE8" s="156">
        <f t="shared" si="0"/>
        <v>0.0010000000183936208</v>
      </c>
      <c r="BF8" s="156">
        <f t="shared" si="0"/>
        <v>0</v>
      </c>
      <c r="BG8" s="156">
        <f t="shared" si="0"/>
        <v>-0.003000000011525117</v>
      </c>
      <c r="BH8" s="156">
        <f t="shared" si="0"/>
        <v>0</v>
      </c>
      <c r="BI8" s="156">
        <f t="shared" si="0"/>
        <v>0</v>
      </c>
      <c r="BJ8" s="156">
        <f t="shared" si="0"/>
        <v>0</v>
      </c>
    </row>
    <row r="9" spans="2:62" s="155" customFormat="1" ht="12.75"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</row>
    <row r="10" spans="1:62" s="157" customFormat="1" ht="56.25">
      <c r="A10" s="157" t="s">
        <v>365</v>
      </c>
      <c r="B10" s="158" t="s">
        <v>148</v>
      </c>
      <c r="C10" s="158" t="s">
        <v>306</v>
      </c>
      <c r="H10" s="158" t="s">
        <v>192</v>
      </c>
      <c r="I10" s="158" t="s">
        <v>151</v>
      </c>
      <c r="J10" s="158" t="s">
        <v>149</v>
      </c>
      <c r="K10" s="158" t="s">
        <v>154</v>
      </c>
      <c r="L10" s="158" t="s">
        <v>153</v>
      </c>
      <c r="M10" s="158" t="s">
        <v>274</v>
      </c>
      <c r="N10" s="158" t="s">
        <v>155</v>
      </c>
      <c r="O10" s="158" t="s">
        <v>239</v>
      </c>
      <c r="P10" s="158" t="s">
        <v>157</v>
      </c>
      <c r="Q10" s="158" t="s">
        <v>158</v>
      </c>
      <c r="R10" s="158" t="s">
        <v>156</v>
      </c>
      <c r="S10" s="158" t="s">
        <v>160</v>
      </c>
      <c r="T10" s="158" t="s">
        <v>282</v>
      </c>
      <c r="U10" s="158" t="s">
        <v>159</v>
      </c>
      <c r="V10" s="158" t="s">
        <v>263</v>
      </c>
      <c r="W10" s="158" t="s">
        <v>162</v>
      </c>
      <c r="X10" s="158" t="s">
        <v>161</v>
      </c>
      <c r="Y10" s="158" t="s">
        <v>169</v>
      </c>
      <c r="Z10" s="158" t="s">
        <v>194</v>
      </c>
      <c r="AA10" s="158" t="s">
        <v>264</v>
      </c>
      <c r="AB10" s="158" t="s">
        <v>287</v>
      </c>
      <c r="AC10" s="158" t="s">
        <v>182</v>
      </c>
      <c r="AD10" s="158" t="s">
        <v>278</v>
      </c>
      <c r="AE10" s="158" t="s">
        <v>281</v>
      </c>
      <c r="AF10" s="158" t="s">
        <v>180</v>
      </c>
      <c r="AG10" s="158" t="s">
        <v>164</v>
      </c>
      <c r="AH10" s="158" t="s">
        <v>165</v>
      </c>
      <c r="AI10" s="158" t="s">
        <v>168</v>
      </c>
      <c r="AJ10" s="158" t="s">
        <v>163</v>
      </c>
      <c r="AK10" s="158" t="s">
        <v>166</v>
      </c>
      <c r="AL10" s="158" t="s">
        <v>167</v>
      </c>
      <c r="AM10" s="158" t="s">
        <v>171</v>
      </c>
      <c r="AN10" s="158" t="s">
        <v>170</v>
      </c>
      <c r="AO10" s="158" t="s">
        <v>172</v>
      </c>
      <c r="AP10" s="158" t="s">
        <v>173</v>
      </c>
      <c r="AQ10" s="158" t="s">
        <v>174</v>
      </c>
      <c r="AR10" s="159" t="s">
        <v>288</v>
      </c>
      <c r="AS10" s="159" t="s">
        <v>267</v>
      </c>
      <c r="AT10" s="159" t="s">
        <v>176</v>
      </c>
      <c r="AU10" s="159" t="s">
        <v>240</v>
      </c>
      <c r="AV10" s="159" t="s">
        <v>175</v>
      </c>
      <c r="AW10" s="159" t="s">
        <v>178</v>
      </c>
      <c r="AX10" s="159" t="s">
        <v>177</v>
      </c>
      <c r="AY10" s="159" t="s">
        <v>279</v>
      </c>
      <c r="AZ10" s="159" t="s">
        <v>179</v>
      </c>
      <c r="BA10" s="159" t="s">
        <v>268</v>
      </c>
      <c r="BB10" s="159" t="s">
        <v>261</v>
      </c>
      <c r="BC10" s="159" t="s">
        <v>181</v>
      </c>
      <c r="BD10" s="159" t="s">
        <v>183</v>
      </c>
      <c r="BE10" s="159" t="s">
        <v>185</v>
      </c>
      <c r="BF10" s="159" t="s">
        <v>184</v>
      </c>
      <c r="BG10" s="159" t="s">
        <v>186</v>
      </c>
      <c r="BH10" s="159" t="s">
        <v>187</v>
      </c>
      <c r="BI10" s="159" t="s">
        <v>188</v>
      </c>
      <c r="BJ10" s="159"/>
    </row>
    <row r="11" spans="2:62" s="155" customFormat="1" ht="12.75">
      <c r="B11" s="154">
        <v>85686756.101</v>
      </c>
      <c r="C11" s="154">
        <v>76087894</v>
      </c>
      <c r="H11" s="154">
        <v>48084459.601</v>
      </c>
      <c r="I11" s="154">
        <v>42083353.865</v>
      </c>
      <c r="J11" s="154">
        <v>41161795.553</v>
      </c>
      <c r="K11" s="154">
        <v>19504233.303000003</v>
      </c>
      <c r="L11" s="154">
        <v>19242728.761</v>
      </c>
      <c r="M11" s="154">
        <v>17598639.455000002</v>
      </c>
      <c r="N11" s="154">
        <v>15604177.187999995</v>
      </c>
      <c r="O11" s="154">
        <v>16277232.524999999</v>
      </c>
      <c r="P11" s="154">
        <v>13854583.112</v>
      </c>
      <c r="Q11" s="154">
        <v>12238127.661999999</v>
      </c>
      <c r="R11" s="154">
        <v>11518068.324</v>
      </c>
      <c r="S11" s="154">
        <v>11742474</v>
      </c>
      <c r="T11" s="154">
        <v>10643354.852</v>
      </c>
      <c r="U11" s="154">
        <v>11013505.986999996</v>
      </c>
      <c r="V11" s="154">
        <v>10045948.616</v>
      </c>
      <c r="W11" s="154">
        <v>8862556.575999998</v>
      </c>
      <c r="X11" s="154">
        <v>7189223.631000001</v>
      </c>
      <c r="Y11" s="154">
        <v>8503536.481</v>
      </c>
      <c r="Z11" s="154">
        <v>7504773.403999999</v>
      </c>
      <c r="AA11" s="154">
        <v>6772942.002</v>
      </c>
      <c r="AB11" s="154">
        <v>6070779.312</v>
      </c>
      <c r="AC11" s="154">
        <v>6457411</v>
      </c>
      <c r="AD11" s="154">
        <v>5557691.871</v>
      </c>
      <c r="AE11" s="154">
        <v>5212573.93</v>
      </c>
      <c r="AF11" s="154">
        <v>4023612.5909999995</v>
      </c>
      <c r="AG11" s="154">
        <v>3291736.781</v>
      </c>
      <c r="AH11" s="154">
        <v>3006691.239</v>
      </c>
      <c r="AI11" s="154">
        <v>3214727.503</v>
      </c>
      <c r="AJ11" s="154">
        <v>3100530.392</v>
      </c>
      <c r="AK11" s="154">
        <v>2521492.9269999997</v>
      </c>
      <c r="AL11" s="154">
        <v>2370870.444</v>
      </c>
      <c r="AM11" s="154">
        <v>1977470.53</v>
      </c>
      <c r="AN11" s="154">
        <v>1993433.8839999998</v>
      </c>
      <c r="AO11" s="154">
        <v>1875175.0809999998</v>
      </c>
      <c r="AP11" s="154">
        <v>1438769.44</v>
      </c>
      <c r="AQ11" s="154">
        <v>1349221.5779999997</v>
      </c>
      <c r="AR11" s="156">
        <v>1185731.7540000002</v>
      </c>
      <c r="AS11" s="156">
        <v>1251769.76</v>
      </c>
      <c r="AT11" s="156">
        <v>1068011.868</v>
      </c>
      <c r="AU11" s="156">
        <v>1310949.2810000002</v>
      </c>
      <c r="AV11" s="156">
        <v>1057372.815</v>
      </c>
      <c r="AW11" s="156">
        <v>766054.3920000001</v>
      </c>
      <c r="AX11" s="156">
        <v>637155.9360000001</v>
      </c>
      <c r="AY11" s="156">
        <v>1483263.403</v>
      </c>
      <c r="AZ11" s="156">
        <v>581733.557</v>
      </c>
      <c r="BA11" s="156">
        <v>447038.21</v>
      </c>
      <c r="BB11" s="156">
        <v>467591.85500000004</v>
      </c>
      <c r="BC11" s="156">
        <v>417759.473</v>
      </c>
      <c r="BD11" s="156">
        <v>287199.532</v>
      </c>
      <c r="BE11" s="156">
        <v>165173.83800000002</v>
      </c>
      <c r="BF11" s="156">
        <v>109293.43900000001</v>
      </c>
      <c r="BG11" s="156">
        <v>84170.347</v>
      </c>
      <c r="BH11" s="156">
        <v>76119.492</v>
      </c>
      <c r="BI11" s="156">
        <v>8910.2</v>
      </c>
      <c r="BJ11" s="156"/>
    </row>
    <row r="12" spans="2:62" s="155" customFormat="1" ht="12.75">
      <c r="B12" s="156">
        <f>+B7-B11</f>
        <v>0.2370000034570694</v>
      </c>
      <c r="C12" s="156">
        <f>+C7-C11</f>
        <v>-0.3190000057220459</v>
      </c>
      <c r="D12" s="156"/>
      <c r="E12" s="156"/>
      <c r="F12" s="156"/>
      <c r="G12" s="156"/>
      <c r="H12" s="156">
        <f aca="true" t="shared" si="1" ref="H12:AM12">+H7-H11</f>
        <v>0.33399999886751175</v>
      </c>
      <c r="I12" s="156">
        <f t="shared" si="1"/>
        <v>0</v>
      </c>
      <c r="J12" s="156">
        <f t="shared" si="1"/>
        <v>0</v>
      </c>
      <c r="K12" s="156">
        <f t="shared" si="1"/>
        <v>-0.0010000020265579224</v>
      </c>
      <c r="L12" s="156">
        <f t="shared" si="1"/>
        <v>0</v>
      </c>
      <c r="M12" s="156">
        <f t="shared" si="1"/>
        <v>-0.0010000020265579224</v>
      </c>
      <c r="N12" s="156">
        <f t="shared" si="1"/>
        <v>0</v>
      </c>
      <c r="O12" s="156">
        <f t="shared" si="1"/>
        <v>0</v>
      </c>
      <c r="P12" s="156">
        <f t="shared" si="1"/>
        <v>0.0010000001639127731</v>
      </c>
      <c r="Q12" s="156">
        <f t="shared" si="1"/>
        <v>0</v>
      </c>
      <c r="R12" s="156">
        <f t="shared" si="1"/>
        <v>0</v>
      </c>
      <c r="S12" s="156">
        <f t="shared" si="1"/>
        <v>-0.2990000005811453</v>
      </c>
      <c r="T12" s="156">
        <f t="shared" si="1"/>
        <v>0</v>
      </c>
      <c r="U12" s="156">
        <f t="shared" si="1"/>
        <v>0</v>
      </c>
      <c r="V12" s="156">
        <f t="shared" si="1"/>
        <v>0.0010000001639127731</v>
      </c>
      <c r="W12" s="156">
        <f t="shared" si="1"/>
        <v>0.1810000017285347</v>
      </c>
      <c r="X12" s="156">
        <f t="shared" si="1"/>
        <v>0</v>
      </c>
      <c r="Y12" s="156">
        <f t="shared" si="1"/>
        <v>0</v>
      </c>
      <c r="Z12" s="156">
        <f t="shared" si="1"/>
        <v>0</v>
      </c>
      <c r="AA12" s="156">
        <f t="shared" si="1"/>
        <v>0</v>
      </c>
      <c r="AB12" s="156">
        <f t="shared" si="1"/>
        <v>0</v>
      </c>
      <c r="AC12" s="156">
        <f t="shared" si="1"/>
        <v>0</v>
      </c>
      <c r="AD12" s="156">
        <f t="shared" si="1"/>
        <v>0.0009999992325901985</v>
      </c>
      <c r="AE12" s="156">
        <f t="shared" si="1"/>
        <v>0</v>
      </c>
      <c r="AF12" s="156">
        <f t="shared" si="1"/>
        <v>-0.001999999862164259</v>
      </c>
      <c r="AG12" s="156">
        <f t="shared" si="1"/>
        <v>0</v>
      </c>
      <c r="AH12" s="156">
        <f t="shared" si="1"/>
        <v>0</v>
      </c>
      <c r="AI12" s="156">
        <f t="shared" si="1"/>
        <v>0</v>
      </c>
      <c r="AJ12" s="156">
        <f t="shared" si="1"/>
        <v>0</v>
      </c>
      <c r="AK12" s="156">
        <f t="shared" si="1"/>
        <v>0</v>
      </c>
      <c r="AL12" s="156">
        <f t="shared" si="1"/>
        <v>0</v>
      </c>
      <c r="AM12" s="156">
        <f t="shared" si="1"/>
        <v>0</v>
      </c>
      <c r="AN12" s="156">
        <f aca="true" t="shared" si="2" ref="AN12:BI12">+AN7-AN11</f>
        <v>0.0010000001639127731</v>
      </c>
      <c r="AO12" s="156">
        <f t="shared" si="2"/>
        <v>0</v>
      </c>
      <c r="AP12" s="156">
        <f t="shared" si="2"/>
        <v>0</v>
      </c>
      <c r="AQ12" s="156">
        <f t="shared" si="2"/>
        <v>0</v>
      </c>
      <c r="AR12" s="156">
        <f t="shared" si="2"/>
        <v>0</v>
      </c>
      <c r="AS12" s="156">
        <f t="shared" si="2"/>
        <v>0</v>
      </c>
      <c r="AT12" s="156">
        <f t="shared" si="2"/>
        <v>0</v>
      </c>
      <c r="AU12" s="156">
        <f t="shared" si="2"/>
        <v>-0.0010000001639127731</v>
      </c>
      <c r="AV12" s="156">
        <f t="shared" si="2"/>
        <v>0.0020000000949949026</v>
      </c>
      <c r="AW12" s="156">
        <f t="shared" si="2"/>
        <v>0</v>
      </c>
      <c r="AX12" s="156">
        <f t="shared" si="2"/>
        <v>-0.4690000001573935</v>
      </c>
      <c r="AY12" s="156">
        <f t="shared" si="2"/>
        <v>-0.0009999999310821295</v>
      </c>
      <c r="AZ12" s="156">
        <f t="shared" si="2"/>
        <v>0</v>
      </c>
      <c r="BA12" s="156">
        <f t="shared" si="2"/>
        <v>0</v>
      </c>
      <c r="BB12" s="156">
        <f t="shared" si="2"/>
        <v>0</v>
      </c>
      <c r="BC12" s="156">
        <f t="shared" si="2"/>
        <v>0.7730000000447035</v>
      </c>
      <c r="BD12" s="156">
        <f t="shared" si="2"/>
        <v>0</v>
      </c>
      <c r="BE12" s="156">
        <f t="shared" si="2"/>
        <v>-0.0010000000183936208</v>
      </c>
      <c r="BF12" s="156">
        <f t="shared" si="2"/>
        <v>0</v>
      </c>
      <c r="BG12" s="156">
        <f t="shared" si="2"/>
        <v>0.003000000011525117</v>
      </c>
      <c r="BH12" s="156">
        <f t="shared" si="2"/>
        <v>0</v>
      </c>
      <c r="BI12" s="156">
        <f t="shared" si="2"/>
        <v>0</v>
      </c>
      <c r="BJ12" s="156"/>
    </row>
    <row r="13" spans="2:62" s="155" customFormat="1" ht="12.75">
      <c r="B13" s="158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</row>
    <row r="14" spans="2:7" ht="12.75">
      <c r="B14" s="159" t="str">
        <f>+'3.3 Cash flow.'!BR1</f>
        <v>Lífeyrissj.</v>
      </c>
      <c r="C14" s="159" t="str">
        <f>+'3.3 Cash flow.'!BS1</f>
        <v>Lífeyrissj.</v>
      </c>
      <c r="D14" s="159" t="str">
        <f>+'3.3 Cash flow.'!BT1</f>
        <v>Lífeyrissj.</v>
      </c>
      <c r="F14" s="154"/>
      <c r="G14" s="154"/>
    </row>
    <row r="15" spans="2:7" ht="12.75">
      <c r="B15" s="159" t="str">
        <f>+'3.3 Cash flow.'!BR2</f>
        <v>starfsm.</v>
      </c>
      <c r="C15" s="159" t="str">
        <f>+'3.3 Cash flow.'!BS2</f>
        <v>starfsm.</v>
      </c>
      <c r="D15" s="159" t="str">
        <f>+'3.3 Cash flow.'!BT2</f>
        <v>starfsm.</v>
      </c>
      <c r="F15" s="154"/>
      <c r="G15" s="154"/>
    </row>
    <row r="16" spans="2:7" ht="12.75">
      <c r="B16" s="159" t="str">
        <f>+'3.3 Cash flow.'!BR3</f>
        <v>sveitarfél.</v>
      </c>
      <c r="C16" s="159" t="str">
        <f>+'3.3 Cash flow.'!BS3</f>
        <v>sveitarfél.</v>
      </c>
      <c r="D16" s="159" t="str">
        <f>+'3.3 Cash flow.'!BT3</f>
        <v>sveitarfél.</v>
      </c>
      <c r="F16" s="154"/>
      <c r="G16" s="154"/>
    </row>
    <row r="17" spans="1:7" ht="12.75">
      <c r="A17" s="154"/>
      <c r="B17" s="159" t="str">
        <f>+'3.3 Cash flow.'!BR4</f>
        <v>(37)</v>
      </c>
      <c r="C17" s="159" t="str">
        <f>+'3.3 Cash flow.'!BS4</f>
        <v>A-deild</v>
      </c>
      <c r="D17" s="159" t="str">
        <f>+'3.3 Cash flow.'!BT4</f>
        <v>V-deild</v>
      </c>
      <c r="E17" s="154"/>
      <c r="F17" s="154"/>
      <c r="G17" s="154"/>
    </row>
    <row r="18" spans="1:7" ht="12.75">
      <c r="A18" s="154"/>
      <c r="B18" s="159">
        <f>+'3.3 Cash flow.'!BR5</f>
        <v>0</v>
      </c>
      <c r="C18" s="159">
        <f>+'3.3 Cash flow.'!BS5</f>
        <v>0</v>
      </c>
      <c r="D18" s="159">
        <f>+'3.3 Cash flow.'!BT5</f>
        <v>0</v>
      </c>
      <c r="E18" s="154"/>
      <c r="F18" s="154"/>
      <c r="G18" s="154"/>
    </row>
    <row r="19" spans="1:7" ht="12.75">
      <c r="A19" s="154"/>
      <c r="B19" s="159">
        <f>+'3.3 Cash flow.'!BR6</f>
        <v>760844.6179999999</v>
      </c>
      <c r="C19" s="159">
        <f>+'3.3 Cash flow.'!BS6</f>
        <v>669206.211</v>
      </c>
      <c r="D19" s="159">
        <f>+'3.3 Cash flow.'!BT6</f>
        <v>78038.31</v>
      </c>
      <c r="E19" s="156">
        <f>+C19+D19-B19</f>
        <v>-13600.09699999995</v>
      </c>
      <c r="F19" s="154"/>
      <c r="G19" s="154"/>
    </row>
    <row r="20" spans="1:7" ht="12.75">
      <c r="A20" s="154"/>
      <c r="B20" s="159">
        <f>+'3.3 Cash flow.'!BR7</f>
        <v>6689.184</v>
      </c>
      <c r="C20" s="159">
        <f>+'3.3 Cash flow.'!BS7</f>
        <v>5815.934</v>
      </c>
      <c r="D20" s="159">
        <f>+'3.3 Cash flow.'!BT7</f>
        <v>820.76</v>
      </c>
      <c r="E20" s="156">
        <f aca="true" t="shared" si="3" ref="E20:E57">+C20+D20-B20</f>
        <v>-52.48999999999978</v>
      </c>
      <c r="F20" s="154"/>
      <c r="G20" s="154"/>
    </row>
    <row r="21" spans="1:7" ht="12.75">
      <c r="A21" s="154"/>
      <c r="B21" s="159">
        <f>+'3.3 Cash flow.'!BR8</f>
        <v>0</v>
      </c>
      <c r="C21" s="159">
        <f>+'3.3 Cash flow.'!BS8</f>
        <v>0</v>
      </c>
      <c r="D21" s="159">
        <f>+'3.3 Cash flow.'!BT8</f>
        <v>0</v>
      </c>
      <c r="E21" s="156">
        <f t="shared" si="3"/>
        <v>0</v>
      </c>
      <c r="F21" s="154"/>
      <c r="G21" s="154"/>
    </row>
    <row r="22" spans="1:7" ht="12.75">
      <c r="A22" s="154"/>
      <c r="B22" s="159">
        <f>+'3.3 Cash flow.'!BR9</f>
        <v>5914.358</v>
      </c>
      <c r="C22" s="159">
        <f>+'3.3 Cash flow.'!BS9</f>
        <v>5129.094</v>
      </c>
      <c r="D22" s="159">
        <f>+'3.3 Cash flow.'!BT9</f>
        <v>785.264</v>
      </c>
      <c r="E22" s="156">
        <f t="shared" si="3"/>
        <v>0</v>
      </c>
      <c r="F22" s="154"/>
      <c r="G22" s="154"/>
    </row>
    <row r="23" spans="1:7" ht="12.75">
      <c r="A23" s="154"/>
      <c r="B23" s="159">
        <f>+'3.3 Cash flow.'!BR10</f>
        <v>630548.854</v>
      </c>
      <c r="C23" s="159">
        <f>+'3.3 Cash flow.'!BS10</f>
        <v>535429.497</v>
      </c>
      <c r="D23" s="159">
        <f>+'3.3 Cash flow.'!BT10</f>
        <v>85006.707</v>
      </c>
      <c r="E23" s="156">
        <f t="shared" si="3"/>
        <v>-10112.65000000014</v>
      </c>
      <c r="F23" s="154"/>
      <c r="G23" s="154"/>
    </row>
    <row r="24" spans="1:7" ht="12.75">
      <c r="A24" s="154"/>
      <c r="B24" s="159">
        <f>+'3.3 Cash flow.'!BR11</f>
        <v>0</v>
      </c>
      <c r="C24" s="159">
        <f>+'3.3 Cash flow.'!BS11</f>
        <v>0</v>
      </c>
      <c r="D24" s="159">
        <f>+'3.3 Cash flow.'!BT11</f>
        <v>0</v>
      </c>
      <c r="E24" s="156">
        <f t="shared" si="3"/>
        <v>0</v>
      </c>
      <c r="F24" s="154"/>
      <c r="G24" s="154"/>
    </row>
    <row r="25" spans="1:7" ht="12.75">
      <c r="A25" s="154"/>
      <c r="B25" s="159">
        <f>+'3.3 Cash flow.'!BR12</f>
        <v>0</v>
      </c>
      <c r="C25" s="159">
        <f>+'3.3 Cash flow.'!BS12</f>
        <v>0</v>
      </c>
      <c r="D25" s="159">
        <f>+'3.3 Cash flow.'!BT12</f>
        <v>0</v>
      </c>
      <c r="E25" s="156">
        <f t="shared" si="3"/>
        <v>0</v>
      </c>
      <c r="F25" s="154"/>
      <c r="G25" s="154"/>
    </row>
    <row r="26" spans="1:7" ht="12.75">
      <c r="A26" s="154"/>
      <c r="B26" s="159">
        <f>+'3.3 Cash flow.'!BR13</f>
        <v>0</v>
      </c>
      <c r="C26" s="159">
        <f>+'3.3 Cash flow.'!BS13</f>
        <v>0</v>
      </c>
      <c r="D26" s="159">
        <f>+'3.3 Cash flow.'!BT13</f>
        <v>0</v>
      </c>
      <c r="E26" s="156">
        <f t="shared" si="3"/>
        <v>0</v>
      </c>
      <c r="F26" s="154"/>
      <c r="G26" s="154"/>
    </row>
    <row r="27" spans="1:7" ht="12.75">
      <c r="A27" s="154"/>
      <c r="B27" s="159">
        <f>+'3.3 Cash flow.'!BR14</f>
        <v>68295.185</v>
      </c>
      <c r="C27" s="159">
        <f>+'3.3 Cash flow.'!BS14</f>
        <v>57079.726</v>
      </c>
      <c r="D27" s="159">
        <f>+'3.3 Cash flow.'!BT14</f>
        <v>11089.165</v>
      </c>
      <c r="E27" s="156">
        <f t="shared" si="3"/>
        <v>-126.29399999999441</v>
      </c>
      <c r="F27" s="154"/>
      <c r="G27" s="154"/>
    </row>
    <row r="28" spans="1:7" ht="12.75">
      <c r="A28" s="154"/>
      <c r="B28" s="159">
        <f>+'3.3 Cash flow.'!BR15</f>
        <v>1472292.199</v>
      </c>
      <c r="C28" s="159">
        <f>+'3.3 Cash flow.'!BS15</f>
        <v>1272660.462</v>
      </c>
      <c r="D28" s="159">
        <f>+'3.3 Cash flow.'!BT15</f>
        <v>175740.20599999998</v>
      </c>
      <c r="E28" s="156">
        <f t="shared" si="3"/>
        <v>-23891.53099999996</v>
      </c>
      <c r="F28" s="154"/>
      <c r="G28" s="154"/>
    </row>
    <row r="29" spans="1:7" ht="12.75">
      <c r="A29" s="154"/>
      <c r="B29" s="159">
        <f>+'3.3 Cash flow.'!BR16</f>
        <v>0</v>
      </c>
      <c r="C29" s="159">
        <f>+'3.3 Cash flow.'!BS16</f>
        <v>0</v>
      </c>
      <c r="D29" s="159">
        <f>+'3.3 Cash flow.'!BT16</f>
        <v>0</v>
      </c>
      <c r="E29" s="156">
        <f t="shared" si="3"/>
        <v>0</v>
      </c>
      <c r="F29" s="154"/>
      <c r="G29" s="154"/>
    </row>
    <row r="30" spans="1:7" ht="12.75">
      <c r="A30" s="154"/>
      <c r="B30" s="159">
        <f>+'3.3 Cash flow.'!BR17</f>
        <v>0</v>
      </c>
      <c r="C30" s="159">
        <f>+'3.3 Cash flow.'!BS17</f>
        <v>0</v>
      </c>
      <c r="D30" s="159">
        <f>+'3.3 Cash flow.'!BT17</f>
        <v>0</v>
      </c>
      <c r="E30" s="156">
        <f t="shared" si="3"/>
        <v>0</v>
      </c>
      <c r="F30" s="154"/>
      <c r="G30" s="154"/>
    </row>
    <row r="31" spans="1:7" ht="12.75">
      <c r="A31" s="154"/>
      <c r="B31" s="159">
        <f>+'3.3 Cash flow.'!BR18</f>
        <v>354.959</v>
      </c>
      <c r="C31" s="159">
        <f>+'3.3 Cash flow.'!BS18</f>
        <v>354.959</v>
      </c>
      <c r="D31" s="159">
        <f>+'3.3 Cash flow.'!BT18</f>
        <v>0</v>
      </c>
      <c r="E31" s="156">
        <f t="shared" si="3"/>
        <v>0</v>
      </c>
      <c r="F31" s="154"/>
      <c r="G31" s="154"/>
    </row>
    <row r="32" spans="1:7" ht="12.75">
      <c r="A32" s="154"/>
      <c r="B32" s="159">
        <f>+'3.3 Cash flow.'!BR19</f>
        <v>2158.194</v>
      </c>
      <c r="C32" s="159">
        <f>+'3.3 Cash flow.'!BS19</f>
        <v>1896.232</v>
      </c>
      <c r="D32" s="159">
        <f>+'3.3 Cash flow.'!BT19</f>
        <v>261.961</v>
      </c>
      <c r="E32" s="156">
        <f t="shared" si="3"/>
        <v>-0.0009999999997489795</v>
      </c>
      <c r="F32" s="154"/>
      <c r="G32" s="154"/>
    </row>
    <row r="33" spans="1:7" ht="12.75">
      <c r="A33" s="154"/>
      <c r="B33" s="159">
        <f>+'3.3 Cash flow.'!BR20</f>
        <v>20536.768</v>
      </c>
      <c r="C33" s="159">
        <f>+'3.3 Cash flow.'!BS20</f>
        <v>18044.015</v>
      </c>
      <c r="D33" s="159">
        <f>+'3.3 Cash flow.'!BT20</f>
        <v>2492.751</v>
      </c>
      <c r="E33" s="156">
        <f t="shared" si="3"/>
        <v>-0.0020000000004074536</v>
      </c>
      <c r="F33" s="154"/>
      <c r="G33" s="154"/>
    </row>
    <row r="34" spans="1:7" ht="12.75">
      <c r="A34" s="154"/>
      <c r="B34" s="159">
        <f>+'3.3 Cash flow.'!BR21</f>
        <v>0</v>
      </c>
      <c r="C34" s="159">
        <f>+'3.3 Cash flow.'!BS21</f>
        <v>0</v>
      </c>
      <c r="D34" s="159">
        <f>+'3.3 Cash flow.'!BT21</f>
        <v>0</v>
      </c>
      <c r="E34" s="156">
        <f t="shared" si="3"/>
        <v>0</v>
      </c>
      <c r="F34" s="154"/>
      <c r="G34" s="154"/>
    </row>
    <row r="35" spans="1:7" ht="12.75">
      <c r="A35" s="154"/>
      <c r="B35" s="159">
        <f>+'3.3 Cash flow.'!BR22</f>
        <v>0</v>
      </c>
      <c r="C35" s="159">
        <f>+'3.3 Cash flow.'!BS22</f>
        <v>0</v>
      </c>
      <c r="D35" s="159">
        <f>+'3.3 Cash flow.'!BT22</f>
        <v>0</v>
      </c>
      <c r="E35" s="156">
        <f t="shared" si="3"/>
        <v>0</v>
      </c>
      <c r="F35" s="154"/>
      <c r="G35" s="154"/>
    </row>
    <row r="36" spans="1:7" ht="12.75">
      <c r="A36" s="154"/>
      <c r="B36" s="159">
        <f>+'3.3 Cash flow.'!BR23</f>
        <v>23049.921</v>
      </c>
      <c r="C36" s="159">
        <f>+'3.3 Cash flow.'!BS23</f>
        <v>20295.206</v>
      </c>
      <c r="D36" s="159">
        <f>+'3.3 Cash flow.'!BT23</f>
        <v>2754.7120000000004</v>
      </c>
      <c r="E36" s="156">
        <f t="shared" si="3"/>
        <v>-0.0030000000006111804</v>
      </c>
      <c r="F36" s="154"/>
      <c r="G36" s="154"/>
    </row>
    <row r="37" spans="1:7" ht="12.75">
      <c r="A37" s="154"/>
      <c r="B37" s="159">
        <f>+'3.3 Cash flow.'!BR24</f>
        <v>0</v>
      </c>
      <c r="C37" s="159">
        <f>+'3.3 Cash flow.'!BS24</f>
        <v>0</v>
      </c>
      <c r="D37" s="159">
        <f>+'3.3 Cash flow.'!BT24</f>
        <v>0</v>
      </c>
      <c r="E37" s="156">
        <f t="shared" si="3"/>
        <v>0</v>
      </c>
      <c r="F37" s="154"/>
      <c r="G37" s="154"/>
    </row>
    <row r="38" spans="1:7" ht="12.75">
      <c r="A38" s="154"/>
      <c r="B38" s="159">
        <f>+'3.3 Cash flow.'!BR25</f>
        <v>0</v>
      </c>
      <c r="C38" s="159">
        <f>+'3.3 Cash flow.'!BS25</f>
        <v>0</v>
      </c>
      <c r="D38" s="159">
        <f>+'3.3 Cash flow.'!BT25</f>
        <v>0</v>
      </c>
      <c r="E38" s="156">
        <f t="shared" si="3"/>
        <v>0</v>
      </c>
      <c r="F38" s="154"/>
      <c r="G38" s="154"/>
    </row>
    <row r="39" spans="1:7" ht="12.75">
      <c r="A39" s="154"/>
      <c r="B39" s="159">
        <f>+'3.3 Cash flow.'!BR26</f>
        <v>1449242.278</v>
      </c>
      <c r="C39" s="159">
        <f>+'3.3 Cash flow.'!BS26</f>
        <v>1252365.256</v>
      </c>
      <c r="D39" s="159">
        <f>+'3.3 Cash flow.'!BT26</f>
        <v>172985.49399999998</v>
      </c>
      <c r="E39" s="156">
        <f t="shared" si="3"/>
        <v>-23891.527999999933</v>
      </c>
      <c r="F39" s="154"/>
      <c r="G39" s="154"/>
    </row>
    <row r="40" spans="1:7" ht="12.75">
      <c r="A40" s="154"/>
      <c r="B40" s="159">
        <f>+'3.3 Cash flow.'!BR27</f>
        <v>0</v>
      </c>
      <c r="C40" s="159">
        <f>+'3.3 Cash flow.'!BS27</f>
        <v>0</v>
      </c>
      <c r="D40" s="159">
        <f>+'3.3 Cash flow.'!BT27</f>
        <v>0</v>
      </c>
      <c r="E40" s="156">
        <f t="shared" si="3"/>
        <v>0</v>
      </c>
      <c r="F40" s="154"/>
      <c r="G40" s="154"/>
    </row>
    <row r="41" spans="1:7" ht="12.75">
      <c r="A41" s="154"/>
      <c r="B41" s="159">
        <f>+'3.3 Cash flow.'!BR28</f>
        <v>0</v>
      </c>
      <c r="C41" s="159">
        <f>+'3.3 Cash flow.'!BS28</f>
        <v>0</v>
      </c>
      <c r="D41" s="159">
        <f>+'3.3 Cash flow.'!BT28</f>
        <v>0</v>
      </c>
      <c r="E41" s="156">
        <f t="shared" si="3"/>
        <v>0</v>
      </c>
      <c r="F41" s="154"/>
      <c r="G41" s="154"/>
    </row>
    <row r="42" spans="1:7" ht="12.75">
      <c r="A42" s="154"/>
      <c r="B42" s="159">
        <f>+'3.3 Cash flow.'!BR29</f>
        <v>1203430.362</v>
      </c>
      <c r="C42" s="159">
        <f>+'3.3 Cash flow.'!BS29</f>
        <v>1032143.48</v>
      </c>
      <c r="D42" s="159">
        <f>+'3.3 Cash flow.'!BT29</f>
        <v>149228.336</v>
      </c>
      <c r="E42" s="156">
        <f t="shared" si="3"/>
        <v>-22058.545999999857</v>
      </c>
      <c r="F42" s="154"/>
      <c r="G42" s="154"/>
    </row>
    <row r="43" spans="1:7" ht="12.75">
      <c r="A43" s="154"/>
      <c r="B43" s="159">
        <f>+'3.3 Cash flow.'!BR30</f>
        <v>58178.5</v>
      </c>
      <c r="C43" s="159">
        <f>+'3.3 Cash flow.'!BS30</f>
        <v>51050.295</v>
      </c>
      <c r="D43" s="159">
        <f>+'3.3 Cash flow.'!BT30</f>
        <v>7128.205</v>
      </c>
      <c r="E43" s="156">
        <f t="shared" si="3"/>
        <v>0</v>
      </c>
      <c r="F43" s="154"/>
      <c r="G43" s="154"/>
    </row>
    <row r="44" spans="1:7" ht="12.75">
      <c r="A44" s="154"/>
      <c r="B44" s="159">
        <f>+'3.3 Cash flow.'!BR31</f>
        <v>161963.5</v>
      </c>
      <c r="C44" s="159">
        <f>+'3.3 Cash flow.'!BS31</f>
        <v>147118.264</v>
      </c>
      <c r="D44" s="159">
        <f>+'3.3 Cash flow.'!BT31</f>
        <v>14845.236</v>
      </c>
      <c r="E44" s="156">
        <f t="shared" si="3"/>
        <v>0</v>
      </c>
      <c r="F44" s="154"/>
      <c r="G44" s="154"/>
    </row>
    <row r="45" spans="1:7" ht="12.75">
      <c r="A45" s="154"/>
      <c r="B45" s="159">
        <f>+'3.3 Cash flow.'!BR32</f>
        <v>0</v>
      </c>
      <c r="C45" s="159">
        <f>+'3.3 Cash flow.'!BS32</f>
        <v>0</v>
      </c>
      <c r="D45" s="159">
        <f>+'3.3 Cash flow.'!BT32</f>
        <v>0</v>
      </c>
      <c r="E45" s="156">
        <f t="shared" si="3"/>
        <v>0</v>
      </c>
      <c r="F45" s="154"/>
      <c r="G45" s="154"/>
    </row>
    <row r="46" spans="1:7" ht="12.75">
      <c r="A46" s="154"/>
      <c r="B46" s="159">
        <f>+'3.3 Cash flow.'!BR33</f>
        <v>4484.934</v>
      </c>
      <c r="C46" s="159">
        <f>+'3.3 Cash flow.'!BS33</f>
        <v>4099.113</v>
      </c>
      <c r="D46" s="159">
        <f>+'3.3 Cash flow.'!BT33</f>
        <v>385.821</v>
      </c>
      <c r="E46" s="156">
        <f t="shared" si="3"/>
        <v>0</v>
      </c>
      <c r="F46" s="154"/>
      <c r="G46" s="154"/>
    </row>
    <row r="47" spans="1:7" ht="12.75">
      <c r="A47" s="154"/>
      <c r="B47" s="159">
        <f>+'3.3 Cash flow.'!BR34</f>
        <v>0</v>
      </c>
      <c r="C47" s="159">
        <f>+'3.3 Cash flow.'!BS34</f>
        <v>0</v>
      </c>
      <c r="D47" s="159">
        <f>+'3.3 Cash flow.'!BT34</f>
        <v>0</v>
      </c>
      <c r="E47" s="156">
        <f t="shared" si="3"/>
        <v>0</v>
      </c>
      <c r="F47" s="154"/>
      <c r="G47" s="154"/>
    </row>
    <row r="48" spans="1:7" ht="12.75">
      <c r="A48" s="154"/>
      <c r="B48" s="159">
        <f>+'3.3 Cash flow.'!BR35</f>
        <v>0</v>
      </c>
      <c r="C48" s="159">
        <f>+'3.3 Cash flow.'!BS35</f>
        <v>0</v>
      </c>
      <c r="D48" s="159">
        <f>+'3.3 Cash flow.'!BT35</f>
        <v>0</v>
      </c>
      <c r="E48" s="156">
        <f t="shared" si="3"/>
        <v>0</v>
      </c>
      <c r="F48" s="154"/>
      <c r="G48" s="154"/>
    </row>
    <row r="49" spans="1:7" ht="12.75">
      <c r="A49" s="154"/>
      <c r="B49" s="159">
        <f>+'3.3 Cash flow.'!BR36</f>
        <v>1428057.2959999999</v>
      </c>
      <c r="C49" s="159">
        <f>+'3.3 Cash flow.'!BS36</f>
        <v>1234411.1519999998</v>
      </c>
      <c r="D49" s="159">
        <f>+'3.3 Cash flow.'!BT36</f>
        <v>171587.598</v>
      </c>
      <c r="E49" s="156">
        <f t="shared" si="3"/>
        <v>-22058.54600000009</v>
      </c>
      <c r="F49" s="154"/>
      <c r="G49" s="154"/>
    </row>
    <row r="50" spans="1:7" ht="12.75">
      <c r="A50" s="154"/>
      <c r="B50" s="159">
        <f>+'3.3 Cash flow.'!BR37</f>
        <v>0</v>
      </c>
      <c r="C50" s="159">
        <f>+'3.3 Cash flow.'!BS37</f>
        <v>0</v>
      </c>
      <c r="D50" s="159">
        <f>+'3.3 Cash flow.'!BT37</f>
        <v>0</v>
      </c>
      <c r="E50" s="156">
        <f t="shared" si="3"/>
        <v>0</v>
      </c>
      <c r="F50" s="154"/>
      <c r="G50" s="154"/>
    </row>
    <row r="51" spans="1:7" ht="12.75">
      <c r="A51" s="154"/>
      <c r="B51" s="159">
        <f>+'3.3 Cash flow.'!BR38</f>
        <v>21184.982000000076</v>
      </c>
      <c r="C51" s="159">
        <f>+'3.3 Cash flow.'!BS38</f>
        <v>17954.104000000283</v>
      </c>
      <c r="D51" s="159">
        <f>+'3.3 Cash flow.'!BT38</f>
        <v>1397.8959999999788</v>
      </c>
      <c r="E51" s="156">
        <f t="shared" si="3"/>
        <v>-1832.9819999998144</v>
      </c>
      <c r="F51" s="154"/>
      <c r="G51" s="154"/>
    </row>
    <row r="52" spans="1:7" ht="12.75">
      <c r="A52" s="154"/>
      <c r="B52" s="159">
        <f>+'3.3 Cash flow.'!BR39</f>
        <v>0</v>
      </c>
      <c r="C52" s="159">
        <f>+'3.3 Cash flow.'!BS39</f>
        <v>0</v>
      </c>
      <c r="D52" s="159">
        <f>+'3.3 Cash flow.'!BT39</f>
        <v>0</v>
      </c>
      <c r="E52" s="156">
        <f t="shared" si="3"/>
        <v>0</v>
      </c>
      <c r="F52" s="156"/>
      <c r="G52" s="156"/>
    </row>
    <row r="53" spans="1:7" ht="12.75">
      <c r="A53" s="154"/>
      <c r="B53" s="159">
        <f>+'3.3 Cash flow.'!BR40</f>
        <v>30635.311</v>
      </c>
      <c r="C53" s="159">
        <f>+'3.3 Cash flow.'!BS40</f>
        <v>25475.627</v>
      </c>
      <c r="D53" s="159">
        <f>+'3.3 Cash flow.'!BT40</f>
        <v>4601.855</v>
      </c>
      <c r="E53" s="156">
        <f t="shared" si="3"/>
        <v>-557.8290000000015</v>
      </c>
      <c r="F53" s="156"/>
      <c r="G53" s="156"/>
    </row>
    <row r="54" spans="1:7" ht="12.75">
      <c r="A54" s="154"/>
      <c r="B54" s="159">
        <f>+'3.3 Cash flow.'!BR41</f>
        <v>0</v>
      </c>
      <c r="C54" s="159">
        <f>+'3.3 Cash flow.'!BS41</f>
        <v>0</v>
      </c>
      <c r="D54" s="159">
        <f>+'3.3 Cash flow.'!BT41</f>
        <v>0</v>
      </c>
      <c r="E54" s="156">
        <f t="shared" si="3"/>
        <v>0</v>
      </c>
      <c r="F54" s="156"/>
      <c r="G54" s="156"/>
    </row>
    <row r="55" spans="1:7" ht="12.75">
      <c r="A55" s="156"/>
      <c r="B55" s="159">
        <f>+'3.3 Cash flow.'!BR42</f>
        <v>51820.29300000008</v>
      </c>
      <c r="C55" s="159">
        <f>+'3.3 Cash flow.'!BS42</f>
        <v>43429.73100000028</v>
      </c>
      <c r="D55" s="159">
        <f>+'3.3 Cash flow.'!BT42</f>
        <v>5999.750999999978</v>
      </c>
      <c r="E55" s="156">
        <f t="shared" si="3"/>
        <v>-2390.8109999998123</v>
      </c>
      <c r="F55" s="156"/>
      <c r="G55" s="156"/>
    </row>
    <row r="56" spans="1:7" ht="12.75">
      <c r="A56" s="156"/>
      <c r="B56" s="159">
        <f>+'3.3 Cash flow.'!BR43</f>
        <v>0</v>
      </c>
      <c r="C56" s="159">
        <f>+'3.3 Cash flow.'!BS43</f>
        <v>0</v>
      </c>
      <c r="D56" s="159">
        <f>+'3.3 Cash flow.'!BT43</f>
        <v>0</v>
      </c>
      <c r="E56" s="156">
        <f t="shared" si="3"/>
        <v>0</v>
      </c>
      <c r="F56" s="156"/>
      <c r="G56" s="156"/>
    </row>
    <row r="57" spans="1:7" ht="12.75">
      <c r="A57" s="156"/>
      <c r="B57" s="159">
        <f>+'3.3 Cash flow.'!BR44</f>
        <v>0</v>
      </c>
      <c r="C57" s="159">
        <f>+'3.3 Cash flow.'!BS44</f>
        <v>0</v>
      </c>
      <c r="D57" s="159">
        <f>+'3.3 Cash flow.'!BT44</f>
        <v>0</v>
      </c>
      <c r="E57" s="156">
        <f t="shared" si="3"/>
        <v>0</v>
      </c>
      <c r="F57" s="156"/>
      <c r="G57" s="156"/>
    </row>
    <row r="58" spans="1:7" ht="12.75">
      <c r="A58" s="156"/>
      <c r="B58" s="159">
        <f>+'3.3 Cash flow.'!BR45</f>
        <v>0</v>
      </c>
      <c r="C58" s="159">
        <f>+'3.3 Cash flow.'!BS45</f>
        <v>0</v>
      </c>
      <c r="D58" s="159">
        <f>+'3.3 Cash flow.'!BT45</f>
        <v>0</v>
      </c>
      <c r="E58" s="154"/>
      <c r="F58" s="156"/>
      <c r="G58" s="156"/>
    </row>
    <row r="59" spans="1:7" ht="12.75">
      <c r="A59" s="156"/>
      <c r="B59" s="159">
        <f>+'3.3 Cash flow.'!BR46</f>
        <v>0</v>
      </c>
      <c r="C59" s="159">
        <f>+'3.3 Cash flow.'!BS46</f>
        <v>0</v>
      </c>
      <c r="D59" s="159">
        <f>+'3.3 Cash flow.'!BT46</f>
        <v>0</v>
      </c>
      <c r="E59" s="154"/>
      <c r="F59" s="156"/>
      <c r="G59" s="156"/>
    </row>
    <row r="60" spans="1:7" ht="12.75">
      <c r="A60" s="156"/>
      <c r="B60" s="159">
        <f>+'3.3 Cash flow.'!BR47</f>
        <v>0</v>
      </c>
      <c r="C60" s="159">
        <f>+'3.3 Cash flow.'!BS47</f>
        <v>0</v>
      </c>
      <c r="D60" s="159">
        <f>+'3.3 Cash flow.'!BT47</f>
        <v>0</v>
      </c>
      <c r="E60" s="154"/>
      <c r="F60" s="156"/>
      <c r="G60" s="156"/>
    </row>
    <row r="61" spans="1:7" ht="12.75">
      <c r="A61" s="156"/>
      <c r="B61" s="159">
        <f>+'3.3 Cash flow.'!BR48</f>
        <v>0</v>
      </c>
      <c r="C61" s="159">
        <f>+'3.3 Cash flow.'!BS48</f>
        <v>0</v>
      </c>
      <c r="D61" s="159">
        <f>+'3.3 Cash flow.'!BT48</f>
        <v>0</v>
      </c>
      <c r="E61" s="154"/>
      <c r="F61" s="156"/>
      <c r="G61" s="156"/>
    </row>
    <row r="62" spans="1:7" ht="12.75">
      <c r="A62" s="156"/>
      <c r="B62" s="159">
        <f>+'3.3 Cash flow.'!BR49</f>
        <v>0</v>
      </c>
      <c r="C62" s="159">
        <f>+'3.3 Cash flow.'!BS49</f>
        <v>0</v>
      </c>
      <c r="D62" s="159">
        <f>+'3.3 Cash flow.'!BT49</f>
        <v>0</v>
      </c>
      <c r="E62" s="154"/>
      <c r="F62" s="156"/>
      <c r="G62" s="156"/>
    </row>
    <row r="63" spans="1:7" ht="12.75">
      <c r="A63" s="156"/>
      <c r="B63" s="159">
        <f>+'3.3 Cash flow.'!BR50</f>
        <v>0</v>
      </c>
      <c r="C63" s="159">
        <f>+'3.3 Cash flow.'!BS50</f>
        <v>0</v>
      </c>
      <c r="D63" s="159">
        <f>+'3.3 Cash flow.'!BT50</f>
        <v>0</v>
      </c>
      <c r="E63" s="154"/>
      <c r="F63" s="156"/>
      <c r="G63" s="156"/>
    </row>
    <row r="64" spans="1:7" ht="12.75">
      <c r="A64" s="156"/>
      <c r="B64" s="159">
        <f>+'3.3 Cash flow.'!BR51</f>
        <v>0</v>
      </c>
      <c r="C64" s="159">
        <f>+'3.3 Cash flow.'!BS51</f>
        <v>0</v>
      </c>
      <c r="D64" s="159">
        <f>+'3.3 Cash flow.'!BT51</f>
        <v>0</v>
      </c>
      <c r="E64" s="154"/>
      <c r="F64" s="156"/>
      <c r="G64" s="156"/>
    </row>
    <row r="65" spans="1:7" ht="12.75">
      <c r="A65" s="156"/>
      <c r="B65" s="159">
        <f>+'3.3 Cash flow.'!BR52</f>
        <v>0</v>
      </c>
      <c r="C65" s="159">
        <f>+'3.3 Cash flow.'!BS52</f>
        <v>0</v>
      </c>
      <c r="D65" s="159">
        <f>+'3.3 Cash flow.'!BT52</f>
        <v>0</v>
      </c>
      <c r="E65" s="154"/>
      <c r="F65" s="156"/>
      <c r="G65" s="156"/>
    </row>
    <row r="66" spans="1:7" ht="12.75">
      <c r="A66" s="156"/>
      <c r="B66" s="159">
        <f>+'3.3 Cash flow.'!BR53</f>
        <v>0</v>
      </c>
      <c r="C66" s="159">
        <f>+'3.3 Cash flow.'!BS53</f>
        <v>0</v>
      </c>
      <c r="D66" s="159">
        <f>+'3.3 Cash flow.'!BT53</f>
        <v>0</v>
      </c>
      <c r="E66" s="154"/>
      <c r="F66" s="156"/>
      <c r="G66" s="156"/>
    </row>
    <row r="67" spans="1:7" ht="12.75">
      <c r="A67" s="156"/>
      <c r="B67" s="159">
        <f>+'3.3 Cash flow.'!BR54</f>
        <v>0</v>
      </c>
      <c r="C67" s="159">
        <f>+'3.3 Cash flow.'!BS54</f>
        <v>0</v>
      </c>
      <c r="D67" s="159">
        <f>+'3.3 Cash flow.'!BT54</f>
        <v>0</v>
      </c>
      <c r="E67" s="154"/>
      <c r="F67" s="156"/>
      <c r="G67" s="156"/>
    </row>
    <row r="68" spans="1:7" ht="12.75">
      <c r="A68" s="156"/>
      <c r="B68" s="159">
        <f>+'3.3 Cash flow.'!BR55</f>
        <v>0</v>
      </c>
      <c r="C68" s="159">
        <f>+'3.3 Cash flow.'!BS55</f>
        <v>0</v>
      </c>
      <c r="D68" s="159">
        <f>+'3.3 Cash flow.'!BT55</f>
        <v>0</v>
      </c>
      <c r="E68" s="154"/>
      <c r="F68" s="156"/>
      <c r="G68" s="156"/>
    </row>
    <row r="69" spans="1:7" ht="12.75">
      <c r="A69" s="156"/>
      <c r="B69" s="159">
        <f>+'3.3 Cash flow.'!BR56</f>
        <v>0</v>
      </c>
      <c r="C69" s="159">
        <f>+'3.3 Cash flow.'!BS56</f>
        <v>0</v>
      </c>
      <c r="D69" s="159">
        <f>+'3.3 Cash flow.'!BT56</f>
        <v>0</v>
      </c>
      <c r="E69" s="154"/>
      <c r="F69" s="156"/>
      <c r="G69" s="156"/>
    </row>
    <row r="70" spans="1:5" ht="12.75">
      <c r="A70" s="156"/>
      <c r="B70" s="159">
        <f>+'3.3 Cash flow.'!BR57</f>
        <v>0</v>
      </c>
      <c r="C70" s="159">
        <f>+'3.3 Cash flow.'!BS57</f>
        <v>0</v>
      </c>
      <c r="D70" s="159">
        <f>+'3.3 Cash flow.'!BT57</f>
        <v>0</v>
      </c>
      <c r="E70" s="154"/>
    </row>
    <row r="71" spans="1:5" ht="12.75">
      <c r="A71" s="156"/>
      <c r="B71" s="156"/>
      <c r="C71" s="156"/>
      <c r="D71" s="156"/>
      <c r="E71" s="154"/>
    </row>
    <row r="72" spans="1:5" ht="12.75">
      <c r="A72" s="156"/>
      <c r="B72" s="156"/>
      <c r="C72" s="154"/>
      <c r="D72" s="154"/>
      <c r="E72" s="154"/>
    </row>
    <row r="73" spans="1:5" ht="12.75">
      <c r="A73" s="156"/>
      <c r="B73" s="156"/>
      <c r="C73" s="154"/>
      <c r="D73" s="154"/>
      <c r="E73" s="154"/>
    </row>
    <row r="74" spans="3:5" ht="12.75">
      <c r="C74" s="154"/>
      <c r="D74" s="154"/>
      <c r="E74" s="154"/>
    </row>
    <row r="75" spans="3:5" ht="12.75">
      <c r="C75" s="154"/>
      <c r="D75" s="154"/>
      <c r="E75" s="154"/>
    </row>
    <row r="76" spans="3:5" ht="12.75">
      <c r="C76" s="154"/>
      <c r="D76" s="154"/>
      <c r="E76" s="154"/>
    </row>
    <row r="77" spans="3:5" ht="12.75">
      <c r="C77" s="154"/>
      <c r="D77" s="154"/>
      <c r="E77" s="154"/>
    </row>
    <row r="78" spans="4:5" ht="12.75">
      <c r="D78" s="154"/>
      <c r="E78" s="154"/>
    </row>
    <row r="79" spans="4:5" ht="12.75">
      <c r="D79" s="154"/>
      <c r="E79" s="154"/>
    </row>
    <row r="80" spans="4:5" ht="12.75">
      <c r="D80" s="154"/>
      <c r="E80" s="154"/>
    </row>
    <row r="81" spans="4:5" ht="12.75">
      <c r="D81" s="154"/>
      <c r="E81" s="154"/>
    </row>
    <row r="82" spans="4:5" ht="12.75">
      <c r="D82" s="154"/>
      <c r="E82" s="154"/>
    </row>
    <row r="83" spans="4:5" ht="12.75">
      <c r="D83" s="154"/>
      <c r="E83" s="154"/>
    </row>
    <row r="84" spans="4:5" ht="12.75">
      <c r="D84" s="154"/>
      <c r="E84" s="154"/>
    </row>
    <row r="85" spans="4:5" ht="12.75">
      <c r="D85" s="154"/>
      <c r="E85" s="154"/>
    </row>
    <row r="86" spans="4:5" ht="12.75">
      <c r="D86" s="154"/>
      <c r="E86" s="154"/>
    </row>
    <row r="87" spans="4:5" ht="12.75">
      <c r="D87" s="154"/>
      <c r="E87" s="154"/>
    </row>
    <row r="88" spans="4:5" ht="12.75">
      <c r="D88" s="154"/>
      <c r="E88" s="154"/>
    </row>
    <row r="89" spans="4:5" ht="12.75">
      <c r="D89" s="154"/>
      <c r="E89" s="154"/>
    </row>
    <row r="90" spans="4:5" ht="12.75">
      <c r="D90" s="154"/>
      <c r="E90" s="15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AC77"/>
  <sheetViews>
    <sheetView workbookViewId="0" topLeftCell="A1">
      <pane xSplit="1" ySplit="5" topLeftCell="B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61" sqref="X61"/>
    </sheetView>
  </sheetViews>
  <sheetFormatPr defaultColWidth="9.00390625" defaultRowHeight="12.75"/>
  <cols>
    <col min="1" max="1" width="26.25390625" style="0" customWidth="1"/>
    <col min="6" max="6" width="7.625" style="0" customWidth="1"/>
    <col min="29" max="29" width="9.50390625" style="0" customWidth="1"/>
  </cols>
  <sheetData>
    <row r="1" spans="1:29" ht="12.75">
      <c r="A1" s="20" t="s">
        <v>11</v>
      </c>
      <c r="B1" s="41" t="s">
        <v>0</v>
      </c>
      <c r="C1" s="41" t="s">
        <v>0</v>
      </c>
      <c r="D1" s="41" t="s">
        <v>0</v>
      </c>
      <c r="E1" s="41" t="s">
        <v>1</v>
      </c>
      <c r="F1" s="41" t="s">
        <v>0</v>
      </c>
      <c r="G1" s="41" t="s">
        <v>0</v>
      </c>
      <c r="H1" s="41" t="s">
        <v>2</v>
      </c>
      <c r="I1" s="41" t="s">
        <v>0</v>
      </c>
      <c r="J1" s="41" t="s">
        <v>3</v>
      </c>
      <c r="K1" s="41" t="s">
        <v>0</v>
      </c>
      <c r="L1" s="41" t="s">
        <v>0</v>
      </c>
      <c r="M1" s="41" t="s">
        <v>0</v>
      </c>
      <c r="N1" s="41" t="s">
        <v>5</v>
      </c>
      <c r="O1" s="41" t="s">
        <v>7</v>
      </c>
      <c r="P1" s="41" t="s">
        <v>0</v>
      </c>
      <c r="Q1" s="41" t="s">
        <v>265</v>
      </c>
      <c r="R1" s="41" t="s">
        <v>6</v>
      </c>
      <c r="S1" s="41" t="s">
        <v>0</v>
      </c>
      <c r="T1" s="41" t="s">
        <v>8</v>
      </c>
      <c r="U1" s="41" t="s">
        <v>0</v>
      </c>
      <c r="V1" s="41" t="s">
        <v>6</v>
      </c>
      <c r="W1" s="41" t="s">
        <v>0</v>
      </c>
      <c r="X1" s="41" t="s">
        <v>0</v>
      </c>
      <c r="Y1" s="41" t="s">
        <v>50</v>
      </c>
      <c r="Z1" s="41" t="s">
        <v>0</v>
      </c>
      <c r="AA1" s="41" t="s">
        <v>9</v>
      </c>
      <c r="AB1" s="41"/>
      <c r="AC1" s="41" t="s">
        <v>10</v>
      </c>
    </row>
    <row r="2" spans="1:29" ht="12.75">
      <c r="A2" s="16"/>
      <c r="B2" s="41" t="s">
        <v>12</v>
      </c>
      <c r="C2" s="41" t="s">
        <v>339</v>
      </c>
      <c r="D2" s="41" t="s">
        <v>16</v>
      </c>
      <c r="E2" s="41" t="s">
        <v>15</v>
      </c>
      <c r="F2" s="41" t="s">
        <v>13</v>
      </c>
      <c r="G2" s="41" t="s">
        <v>17</v>
      </c>
      <c r="H2" s="41" t="s">
        <v>15</v>
      </c>
      <c r="I2" s="41" t="s">
        <v>234</v>
      </c>
      <c r="J2" s="41" t="s">
        <v>15</v>
      </c>
      <c r="K2" s="41" t="s">
        <v>20</v>
      </c>
      <c r="L2" s="41" t="s">
        <v>284</v>
      </c>
      <c r="M2" s="41" t="s">
        <v>23</v>
      </c>
      <c r="N2" s="41" t="s">
        <v>15</v>
      </c>
      <c r="O2" s="41" t="s">
        <v>30</v>
      </c>
      <c r="P2" s="41" t="s">
        <v>24</v>
      </c>
      <c r="Q2" s="41" t="s">
        <v>46</v>
      </c>
      <c r="R2" s="41" t="s">
        <v>29</v>
      </c>
      <c r="S2" s="41" t="s">
        <v>275</v>
      </c>
      <c r="T2" s="41" t="s">
        <v>15</v>
      </c>
      <c r="U2" s="41" t="s">
        <v>26</v>
      </c>
      <c r="V2" s="41" t="s">
        <v>29</v>
      </c>
      <c r="W2" s="41" t="s">
        <v>27</v>
      </c>
      <c r="X2" s="41" t="s">
        <v>14</v>
      </c>
      <c r="Y2" s="41" t="s">
        <v>15</v>
      </c>
      <c r="Z2" s="41" t="s">
        <v>39</v>
      </c>
      <c r="AA2" s="41" t="s">
        <v>46</v>
      </c>
      <c r="AB2" s="41"/>
      <c r="AC2" s="41" t="s">
        <v>49</v>
      </c>
    </row>
    <row r="3" spans="1:29" ht="12.75">
      <c r="A3" s="19"/>
      <c r="B3" s="41" t="s">
        <v>51</v>
      </c>
      <c r="C3" s="41"/>
      <c r="D3" s="41"/>
      <c r="E3" s="41" t="s">
        <v>29</v>
      </c>
      <c r="F3" s="41" t="s">
        <v>137</v>
      </c>
      <c r="G3" s="41" t="s">
        <v>53</v>
      </c>
      <c r="H3" s="41" t="s">
        <v>52</v>
      </c>
      <c r="I3" s="41" t="s">
        <v>137</v>
      </c>
      <c r="J3" s="41" t="s">
        <v>29</v>
      </c>
      <c r="K3" s="41" t="s">
        <v>54</v>
      </c>
      <c r="L3" s="41" t="s">
        <v>283</v>
      </c>
      <c r="M3" s="41" t="s">
        <v>262</v>
      </c>
      <c r="N3" s="41" t="s">
        <v>29</v>
      </c>
      <c r="O3" s="41" t="s">
        <v>62</v>
      </c>
      <c r="P3" s="41" t="s">
        <v>53</v>
      </c>
      <c r="Q3" s="41" t="s">
        <v>266</v>
      </c>
      <c r="R3" s="41" t="s">
        <v>77</v>
      </c>
      <c r="S3" s="41" t="s">
        <v>276</v>
      </c>
      <c r="T3" s="41" t="s">
        <v>73</v>
      </c>
      <c r="U3" s="41" t="s">
        <v>57</v>
      </c>
      <c r="V3" s="41" t="s">
        <v>61</v>
      </c>
      <c r="W3" s="41" t="s">
        <v>137</v>
      </c>
      <c r="X3" s="41" t="s">
        <v>277</v>
      </c>
      <c r="Y3" s="41" t="s">
        <v>29</v>
      </c>
      <c r="Z3" s="41" t="s">
        <v>56</v>
      </c>
      <c r="AA3" s="41" t="s">
        <v>81</v>
      </c>
      <c r="AB3" s="41"/>
      <c r="AC3" s="41" t="s">
        <v>84</v>
      </c>
    </row>
    <row r="4" spans="1:29" s="112" customFormat="1" ht="12.75">
      <c r="A4" s="34"/>
      <c r="B4" s="113">
        <v>1</v>
      </c>
      <c r="C4" s="113">
        <v>2</v>
      </c>
      <c r="D4" s="113">
        <v>3</v>
      </c>
      <c r="E4" s="113">
        <v>4</v>
      </c>
      <c r="F4" s="113">
        <v>5</v>
      </c>
      <c r="G4" s="113">
        <v>6</v>
      </c>
      <c r="H4" s="113">
        <v>7</v>
      </c>
      <c r="I4" s="113">
        <v>9</v>
      </c>
      <c r="J4" s="113">
        <v>10</v>
      </c>
      <c r="K4" s="113">
        <v>12</v>
      </c>
      <c r="L4" s="113">
        <v>16</v>
      </c>
      <c r="M4" s="113">
        <v>17</v>
      </c>
      <c r="N4" s="113">
        <v>18</v>
      </c>
      <c r="O4" s="113">
        <v>19</v>
      </c>
      <c r="P4" s="113">
        <v>21</v>
      </c>
      <c r="Q4" s="113">
        <v>22</v>
      </c>
      <c r="R4" s="113">
        <v>23</v>
      </c>
      <c r="S4" s="113">
        <v>25</v>
      </c>
      <c r="T4" s="113">
        <v>27</v>
      </c>
      <c r="U4" s="113">
        <v>28</v>
      </c>
      <c r="V4" s="113">
        <v>29</v>
      </c>
      <c r="W4" s="113">
        <v>30</v>
      </c>
      <c r="X4" s="113">
        <v>37</v>
      </c>
      <c r="Y4" s="113">
        <v>40</v>
      </c>
      <c r="Z4" s="113">
        <v>43</v>
      </c>
      <c r="AA4" s="113">
        <v>54</v>
      </c>
      <c r="AB4" s="113"/>
      <c r="AC4" s="113"/>
    </row>
    <row r="5" spans="1:29" ht="12.75">
      <c r="A5" s="21" t="s">
        <v>216</v>
      </c>
      <c r="B5" s="3"/>
      <c r="C5" s="12"/>
      <c r="D5" s="12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Z5" s="3"/>
      <c r="AA5" s="3"/>
      <c r="AB5" s="3"/>
      <c r="AC5" s="11"/>
    </row>
    <row r="6" spans="1:29" ht="12.75">
      <c r="A6" s="20" t="s">
        <v>205</v>
      </c>
      <c r="B6" s="2">
        <v>87467.591</v>
      </c>
      <c r="C6" s="2">
        <v>240783</v>
      </c>
      <c r="D6" s="2">
        <v>10240.956</v>
      </c>
      <c r="E6" s="2">
        <v>10225.755</v>
      </c>
      <c r="F6" s="2">
        <v>2557.009</v>
      </c>
      <c r="G6" s="2">
        <v>0</v>
      </c>
      <c r="H6" s="2">
        <v>7403.279</v>
      </c>
      <c r="I6" s="2">
        <v>28521.367</v>
      </c>
      <c r="J6" s="2">
        <v>44890.672</v>
      </c>
      <c r="K6" s="2">
        <v>2594</v>
      </c>
      <c r="L6" s="2">
        <v>0</v>
      </c>
      <c r="M6" s="2">
        <v>1776.464</v>
      </c>
      <c r="N6" s="2">
        <v>0</v>
      </c>
      <c r="O6" s="2">
        <v>0</v>
      </c>
      <c r="P6" s="2">
        <v>713.231</v>
      </c>
      <c r="Q6" s="114">
        <v>87.265</v>
      </c>
      <c r="R6" s="2">
        <v>0</v>
      </c>
      <c r="S6" s="2">
        <v>0</v>
      </c>
      <c r="T6" s="2">
        <f>300424.449-46448.463</f>
        <v>253975.98600000003</v>
      </c>
      <c r="U6" s="2">
        <v>444.013</v>
      </c>
      <c r="V6" s="2">
        <v>0</v>
      </c>
      <c r="W6" s="2">
        <v>0</v>
      </c>
      <c r="X6" s="2">
        <v>11589.318</v>
      </c>
      <c r="Y6" s="2">
        <f>98323.485-32092.47</f>
        <v>66231.015</v>
      </c>
      <c r="Z6" s="2">
        <v>0</v>
      </c>
      <c r="AA6" s="2">
        <v>0</v>
      </c>
      <c r="AB6" s="2"/>
      <c r="AC6" s="2">
        <f>SUM(B6:AA6)</f>
        <v>769500.9210000002</v>
      </c>
    </row>
    <row r="7" spans="1:29" ht="12.75">
      <c r="A7" s="20" t="s">
        <v>206</v>
      </c>
      <c r="B7" s="2">
        <v>113552.976</v>
      </c>
      <c r="C7" s="2">
        <v>29834</v>
      </c>
      <c r="D7" s="2">
        <v>10450.297</v>
      </c>
      <c r="E7" s="2">
        <v>8081.737</v>
      </c>
      <c r="F7" s="2">
        <v>342.889</v>
      </c>
      <c r="G7" s="2">
        <v>0</v>
      </c>
      <c r="H7" s="2">
        <v>957.067</v>
      </c>
      <c r="I7" s="2">
        <v>8490.534</v>
      </c>
      <c r="J7" s="2">
        <v>137671.651</v>
      </c>
      <c r="K7" s="2">
        <v>0</v>
      </c>
      <c r="L7" s="2">
        <v>0</v>
      </c>
      <c r="M7" s="2">
        <v>482.985</v>
      </c>
      <c r="N7" s="2">
        <v>0</v>
      </c>
      <c r="O7" s="2">
        <v>0</v>
      </c>
      <c r="P7" s="2">
        <v>649.714</v>
      </c>
      <c r="Q7" s="2">
        <v>0</v>
      </c>
      <c r="R7" s="2">
        <v>0</v>
      </c>
      <c r="S7" s="2">
        <v>0</v>
      </c>
      <c r="T7" s="2">
        <f>526835.388-68926.721</f>
        <v>457908.667</v>
      </c>
      <c r="U7" s="2">
        <v>44.401</v>
      </c>
      <c r="V7" s="2">
        <v>0</v>
      </c>
      <c r="W7" s="2">
        <v>0</v>
      </c>
      <c r="X7" s="2">
        <v>1756.299</v>
      </c>
      <c r="Y7" s="2">
        <f>221670.681-49721.103</f>
        <v>171949.578</v>
      </c>
      <c r="Z7" s="2">
        <v>0</v>
      </c>
      <c r="AA7" s="2">
        <v>0</v>
      </c>
      <c r="AB7" s="2"/>
      <c r="AC7" s="2">
        <f>SUM(B7:AA7)</f>
        <v>942172.7949999999</v>
      </c>
    </row>
    <row r="8" spans="1:29" ht="12.75">
      <c r="A8" s="20" t="s">
        <v>207</v>
      </c>
      <c r="B8" s="2">
        <v>0</v>
      </c>
      <c r="C8" s="2">
        <v>-406</v>
      </c>
      <c r="D8" s="2">
        <v>-179.6</v>
      </c>
      <c r="E8" s="2">
        <v>-396.432</v>
      </c>
      <c r="F8" s="2">
        <v>-185.597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-27.587</v>
      </c>
      <c r="N8" s="2">
        <v>0</v>
      </c>
      <c r="O8" s="2">
        <v>0</v>
      </c>
      <c r="P8" s="2">
        <v>-9.049</v>
      </c>
      <c r="Q8" s="114">
        <v>2821.016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26228.261</v>
      </c>
      <c r="Z8" s="2">
        <v>0</v>
      </c>
      <c r="AA8" s="2">
        <v>-29672.291</v>
      </c>
      <c r="AB8" s="2"/>
      <c r="AC8" s="2">
        <f>SUM(B8:AA8)</f>
        <v>-1827.2790000000023</v>
      </c>
    </row>
    <row r="9" spans="1:29" ht="12.75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5.25" customHeight="1">
      <c r="A10" s="19" t="s">
        <v>137</v>
      </c>
      <c r="AC10" s="2"/>
    </row>
    <row r="11" spans="1:29" ht="12.75">
      <c r="A11" s="36" t="s">
        <v>208</v>
      </c>
      <c r="B11" s="33">
        <f>SUM(B6:B10)</f>
        <v>201020.56699999998</v>
      </c>
      <c r="C11" s="33">
        <f>SUM(C6:C10)</f>
        <v>270211</v>
      </c>
      <c r="D11" s="33">
        <f>SUM(D6:D10)</f>
        <v>20511.653000000002</v>
      </c>
      <c r="E11" s="33">
        <f>SUM(E6:E10)</f>
        <v>17911.059999999998</v>
      </c>
      <c r="F11" s="33">
        <f>SUM(F6:F10)</f>
        <v>2714.301</v>
      </c>
      <c r="G11" s="33">
        <v>71884.328</v>
      </c>
      <c r="H11" s="33">
        <f>SUM(H6:H10)</f>
        <v>8360.346000000001</v>
      </c>
      <c r="I11" s="33">
        <f>SUM(I6:I10)</f>
        <v>37011.901</v>
      </c>
      <c r="J11" s="33">
        <f>SUM(J6:J10)</f>
        <v>182562.323</v>
      </c>
      <c r="K11" s="33">
        <f>SUM(K6:K10)</f>
        <v>2594</v>
      </c>
      <c r="L11" s="33">
        <v>52333.729</v>
      </c>
      <c r="M11" s="33">
        <f>SUM(M6:M10)</f>
        <v>2231.862</v>
      </c>
      <c r="N11" s="33">
        <v>883453</v>
      </c>
      <c r="O11" s="33">
        <v>1382403</v>
      </c>
      <c r="P11" s="33">
        <f>SUM(P6:P10)</f>
        <v>1353.8960000000002</v>
      </c>
      <c r="Q11" s="33">
        <f>SUM(Q6:Q10)</f>
        <v>2908.281</v>
      </c>
      <c r="R11" s="33">
        <v>993248</v>
      </c>
      <c r="S11" s="33">
        <v>154839.931</v>
      </c>
      <c r="T11" s="33">
        <f>SUM(T6:T10)</f>
        <v>711884.653</v>
      </c>
      <c r="U11" s="33">
        <f>SUM(U6:U10)</f>
        <v>488.414</v>
      </c>
      <c r="V11" s="33">
        <v>29196.823</v>
      </c>
      <c r="W11" s="33">
        <v>21040.35</v>
      </c>
      <c r="X11" s="33">
        <f>SUM(X6:X10)</f>
        <v>13345.616999999998</v>
      </c>
      <c r="Y11" s="33">
        <f>SUM(Y6:Y10)</f>
        <v>264408.854</v>
      </c>
      <c r="Z11" s="33">
        <v>38072.83</v>
      </c>
      <c r="AA11" s="33">
        <f>SUM(AA6:AA10)</f>
        <v>-29672.291</v>
      </c>
      <c r="AB11" s="33"/>
      <c r="AC11" s="2">
        <f>SUM(B11:AA11)</f>
        <v>5336318.427999999</v>
      </c>
    </row>
    <row r="12" spans="1:29" ht="5.25" customHeight="1">
      <c r="A12" s="21"/>
      <c r="AC12" s="2"/>
    </row>
    <row r="13" spans="1:29" ht="12.75">
      <c r="A13" s="21" t="s">
        <v>217</v>
      </c>
      <c r="AC13" s="2"/>
    </row>
    <row r="14" spans="1:29" ht="12.75">
      <c r="A14" s="20" t="s">
        <v>204</v>
      </c>
      <c r="B14" s="2">
        <v>6145.27</v>
      </c>
      <c r="C14" s="2">
        <v>607</v>
      </c>
      <c r="D14" s="2">
        <v>1862.675</v>
      </c>
      <c r="E14" s="2">
        <v>1636</v>
      </c>
      <c r="F14" s="2">
        <v>0</v>
      </c>
      <c r="G14" s="2">
        <v>0</v>
      </c>
      <c r="H14" s="2">
        <v>0</v>
      </c>
      <c r="I14" s="2">
        <v>0</v>
      </c>
      <c r="J14" s="2">
        <v>5905.043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78998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9230.738</v>
      </c>
      <c r="Z14" s="2">
        <v>0</v>
      </c>
      <c r="AA14" s="2">
        <v>1134.906</v>
      </c>
      <c r="AB14" s="2"/>
      <c r="AC14" s="2">
        <f>SUM(B14:AA14)</f>
        <v>105519.632</v>
      </c>
    </row>
    <row r="15" spans="1:29" ht="12.75">
      <c r="A15" s="2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2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2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6" customHeight="1">
      <c r="A18" s="19"/>
      <c r="AC18" s="2"/>
    </row>
    <row r="19" spans="1:29" ht="12.75">
      <c r="A19" s="36" t="s">
        <v>209</v>
      </c>
      <c r="B19" s="33">
        <f aca="true" t="shared" si="0" ref="B19:M19">SUM(B14:B14)</f>
        <v>6145.27</v>
      </c>
      <c r="C19" s="33">
        <f t="shared" si="0"/>
        <v>607</v>
      </c>
      <c r="D19" s="33">
        <f t="shared" si="0"/>
        <v>1862.675</v>
      </c>
      <c r="E19" s="33">
        <f t="shared" si="0"/>
        <v>1636</v>
      </c>
      <c r="F19" s="33">
        <f t="shared" si="0"/>
        <v>0</v>
      </c>
      <c r="G19" s="33">
        <f t="shared" si="0"/>
        <v>0</v>
      </c>
      <c r="H19" s="33">
        <f t="shared" si="0"/>
        <v>0</v>
      </c>
      <c r="I19" s="33">
        <f>SUM(I14:I14)</f>
        <v>0</v>
      </c>
      <c r="J19" s="33">
        <f t="shared" si="0"/>
        <v>5905.043</v>
      </c>
      <c r="K19" s="33">
        <f t="shared" si="0"/>
        <v>0</v>
      </c>
      <c r="L19" s="92">
        <f t="shared" si="0"/>
        <v>0</v>
      </c>
      <c r="M19" s="33">
        <f t="shared" si="0"/>
        <v>0</v>
      </c>
      <c r="N19" s="33">
        <v>87993</v>
      </c>
      <c r="O19" s="33">
        <v>69320</v>
      </c>
      <c r="P19" s="33">
        <f>SUM(P14:P14)</f>
        <v>0</v>
      </c>
      <c r="Q19" s="33">
        <f>SUM(Q14:Q14)</f>
        <v>0</v>
      </c>
      <c r="R19" s="33">
        <f>SUM(R14:R14)</f>
        <v>78998</v>
      </c>
      <c r="S19" s="33">
        <v>22876.281</v>
      </c>
      <c r="T19" s="33">
        <v>59757.555</v>
      </c>
      <c r="U19" s="33">
        <f>SUM(U14:U14)</f>
        <v>0</v>
      </c>
      <c r="V19" s="33">
        <f>SUM(V14:V14)</f>
        <v>0</v>
      </c>
      <c r="W19" s="33">
        <f>SUM(W14:W14)</f>
        <v>0</v>
      </c>
      <c r="X19" s="33">
        <f>SUM(X14:X14)</f>
        <v>0</v>
      </c>
      <c r="Y19" s="33">
        <f>SUM(Y14:Y14)</f>
        <v>9230.738</v>
      </c>
      <c r="Z19" s="33">
        <v>13434.936</v>
      </c>
      <c r="AA19" s="33">
        <f>SUM(AA14:AA14)</f>
        <v>1134.906</v>
      </c>
      <c r="AB19" s="33"/>
      <c r="AC19" s="2">
        <f>SUM(B19:AA19)</f>
        <v>358901.40400000004</v>
      </c>
    </row>
    <row r="20" spans="1:29" ht="6" customHeight="1">
      <c r="A20" s="21"/>
      <c r="AC20" s="2"/>
    </row>
    <row r="21" spans="1:29" ht="12.75">
      <c r="A21" s="21" t="s">
        <v>218</v>
      </c>
      <c r="AC21" s="2"/>
    </row>
    <row r="22" spans="1:29" ht="12.75">
      <c r="A22" s="20" t="s">
        <v>290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/>
      <c r="AC22" s="2">
        <f aca="true" t="shared" si="1" ref="AC22:AC33">SUM(B22:AA22)</f>
        <v>0</v>
      </c>
    </row>
    <row r="23" spans="1:29" ht="12.75">
      <c r="A23" s="20" t="s">
        <v>291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/>
      <c r="AC23" s="2">
        <f t="shared" si="1"/>
        <v>0</v>
      </c>
    </row>
    <row r="24" spans="1:29" ht="12.75">
      <c r="A24" s="20" t="s">
        <v>213</v>
      </c>
      <c r="B24" s="2">
        <v>0</v>
      </c>
      <c r="C24" s="2">
        <v>-41536</v>
      </c>
      <c r="D24" s="2">
        <v>1225.842</v>
      </c>
      <c r="E24" s="2">
        <v>0</v>
      </c>
      <c r="F24" s="2">
        <v>0</v>
      </c>
      <c r="G24" s="2">
        <v>0</v>
      </c>
      <c r="H24" s="2">
        <v>-170.251</v>
      </c>
      <c r="I24" s="2">
        <v>0</v>
      </c>
      <c r="J24" s="2">
        <v>0</v>
      </c>
      <c r="K24" s="2">
        <v>0</v>
      </c>
      <c r="L24" s="2">
        <v>-1697.538</v>
      </c>
      <c r="M24" s="2">
        <v>0</v>
      </c>
      <c r="N24" s="2">
        <v>0</v>
      </c>
      <c r="O24" s="2">
        <v>0</v>
      </c>
      <c r="P24" s="2">
        <v>-80.918</v>
      </c>
      <c r="Q24" s="114">
        <v>-9.648</v>
      </c>
      <c r="R24" s="2">
        <v>0</v>
      </c>
      <c r="S24" s="2">
        <v>0</v>
      </c>
      <c r="T24" s="2">
        <v>3507.142</v>
      </c>
      <c r="U24" s="2">
        <v>0</v>
      </c>
      <c r="V24" s="2">
        <v>0</v>
      </c>
      <c r="W24" s="2">
        <v>0</v>
      </c>
      <c r="X24" s="2">
        <v>83.351</v>
      </c>
      <c r="Y24" s="2">
        <v>205.055</v>
      </c>
      <c r="Z24" s="2">
        <v>0</v>
      </c>
      <c r="AA24" s="2">
        <v>0</v>
      </c>
      <c r="AB24" s="2"/>
      <c r="AC24" s="2">
        <f t="shared" si="1"/>
        <v>-38472.965</v>
      </c>
    </row>
    <row r="25" spans="1:29" ht="12.75">
      <c r="A25" s="20" t="s">
        <v>214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f>-51539.712+2006.38</f>
        <v>-49533.332</v>
      </c>
      <c r="Z25" s="2">
        <v>0</v>
      </c>
      <c r="AA25" s="2">
        <v>0</v>
      </c>
      <c r="AB25" s="2"/>
      <c r="AC25" s="2">
        <f t="shared" si="1"/>
        <v>-49533.332</v>
      </c>
    </row>
    <row r="26" spans="1:29" ht="12.75">
      <c r="A26" s="20" t="s">
        <v>203</v>
      </c>
      <c r="B26" s="2">
        <v>0</v>
      </c>
      <c r="C26" s="2">
        <v>1276</v>
      </c>
      <c r="D26" s="2">
        <v>1808.546</v>
      </c>
      <c r="E26" s="2">
        <v>-362.139</v>
      </c>
      <c r="F26" s="2">
        <v>124.724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3766</v>
      </c>
      <c r="M26" s="2">
        <v>279.629</v>
      </c>
      <c r="N26" s="2">
        <v>0</v>
      </c>
      <c r="O26" s="2">
        <v>0</v>
      </c>
      <c r="P26" s="2">
        <v>116.059</v>
      </c>
      <c r="Q26" s="2">
        <v>47.79</v>
      </c>
      <c r="R26" s="2">
        <v>0</v>
      </c>
      <c r="S26" s="2">
        <v>0</v>
      </c>
      <c r="T26" s="2">
        <f>-4464.04-2133.581</f>
        <v>-6597.621</v>
      </c>
      <c r="U26" s="2">
        <v>0</v>
      </c>
      <c r="V26" s="2">
        <v>0</v>
      </c>
      <c r="W26" s="2">
        <v>0</v>
      </c>
      <c r="X26" s="2">
        <f>+-420.715-510.495+52.49</f>
        <v>-878.72</v>
      </c>
      <c r="Y26" s="2">
        <v>0</v>
      </c>
      <c r="Z26" s="2">
        <v>0</v>
      </c>
      <c r="AA26" s="2">
        <v>0</v>
      </c>
      <c r="AB26" s="2"/>
      <c r="AC26" s="2">
        <f t="shared" si="1"/>
        <v>-419.73199999999974</v>
      </c>
    </row>
    <row r="27" spans="1:29" ht="12.75">
      <c r="A27" s="20" t="s">
        <v>237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/>
      <c r="AC27" s="2">
        <f t="shared" si="1"/>
        <v>0</v>
      </c>
    </row>
    <row r="28" spans="1:29" ht="12.75">
      <c r="A28" s="20" t="s">
        <v>202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/>
      <c r="AC28" s="2">
        <f t="shared" si="1"/>
        <v>0</v>
      </c>
    </row>
    <row r="29" spans="1:29" ht="12.75">
      <c r="A29" s="20" t="s">
        <v>292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0.827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/>
      <c r="AC29" s="2">
        <f t="shared" si="1"/>
        <v>0.827</v>
      </c>
    </row>
    <row r="30" spans="1:29" ht="12.75">
      <c r="A30" s="20" t="s">
        <v>293</v>
      </c>
      <c r="B30" s="2">
        <v>11544.88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/>
      <c r="AC30" s="2">
        <f t="shared" si="1"/>
        <v>11544.88</v>
      </c>
    </row>
    <row r="31" spans="1:29" ht="12.75">
      <c r="A31" s="20" t="s">
        <v>201</v>
      </c>
      <c r="B31" s="2">
        <v>0</v>
      </c>
      <c r="C31" s="2">
        <v>-17394</v>
      </c>
      <c r="D31" s="2">
        <v>-1174.709</v>
      </c>
      <c r="E31" s="2">
        <v>-1732.047</v>
      </c>
      <c r="F31" s="2">
        <v>-78.876</v>
      </c>
      <c r="G31" s="2">
        <v>0</v>
      </c>
      <c r="H31" s="2">
        <v>0</v>
      </c>
      <c r="I31" s="2">
        <v>0</v>
      </c>
      <c r="J31" s="2">
        <v>0</v>
      </c>
      <c r="K31" s="83">
        <v>0</v>
      </c>
      <c r="L31" s="2">
        <v>0</v>
      </c>
      <c r="M31" s="2">
        <v>-103.894</v>
      </c>
      <c r="N31" s="2">
        <v>0</v>
      </c>
      <c r="O31" s="2">
        <v>0</v>
      </c>
      <c r="P31" s="2">
        <v>-82.522</v>
      </c>
      <c r="Q31" s="2">
        <v>-52.177</v>
      </c>
      <c r="R31" s="2">
        <v>0</v>
      </c>
      <c r="S31" s="2">
        <v>0</v>
      </c>
      <c r="T31" s="2">
        <f>-148684.061+2777.776</f>
        <v>-145906.28499999997</v>
      </c>
      <c r="U31" s="2">
        <v>0</v>
      </c>
      <c r="V31" s="2">
        <v>0</v>
      </c>
      <c r="W31" s="2">
        <v>0</v>
      </c>
      <c r="X31" s="2">
        <v>-510.043</v>
      </c>
      <c r="Y31" s="2">
        <f>-47688.322+4239.492</f>
        <v>-43448.83</v>
      </c>
      <c r="Z31" s="2">
        <v>0</v>
      </c>
      <c r="AA31" s="2">
        <v>0</v>
      </c>
      <c r="AB31" s="2"/>
      <c r="AC31" s="2">
        <f t="shared" si="1"/>
        <v>-210483.38299999997</v>
      </c>
    </row>
    <row r="32" spans="1:29" ht="6.75" customHeight="1">
      <c r="A32" s="19"/>
      <c r="K32" s="84"/>
      <c r="AC32" s="2">
        <f t="shared" si="1"/>
        <v>0</v>
      </c>
    </row>
    <row r="33" spans="1:29" ht="12.75">
      <c r="A33" s="36" t="s">
        <v>210</v>
      </c>
      <c r="B33" s="33">
        <f>SUM(B22:B31)</f>
        <v>11544.88</v>
      </c>
      <c r="C33" s="33">
        <f>SUM(C22:C31)</f>
        <v>-57654</v>
      </c>
      <c r="D33" s="33">
        <f>SUM(D22:D31)</f>
        <v>1859.6789999999999</v>
      </c>
      <c r="E33" s="33">
        <f>SUM(E22:E31)</f>
        <v>-2094.186</v>
      </c>
      <c r="F33" s="33">
        <f>SUM(F22:F31)</f>
        <v>45.848</v>
      </c>
      <c r="G33" s="33">
        <v>892.715</v>
      </c>
      <c r="H33" s="33">
        <f>SUM(H22:H31)</f>
        <v>-170.251</v>
      </c>
      <c r="I33" s="33">
        <v>306.672</v>
      </c>
      <c r="J33" s="33">
        <v>29499.664</v>
      </c>
      <c r="K33" s="92">
        <v>-51</v>
      </c>
      <c r="L33" s="92">
        <f>SUM(L22:L31)</f>
        <v>2068.462</v>
      </c>
      <c r="M33" s="33">
        <f>SUM(M22:M31)</f>
        <v>175.735</v>
      </c>
      <c r="N33" s="33">
        <v>-30854</v>
      </c>
      <c r="O33" s="33">
        <v>-228052</v>
      </c>
      <c r="P33" s="33">
        <f>SUM(P22:P31)</f>
        <v>-46.554000000000016</v>
      </c>
      <c r="Q33" s="33">
        <f>SUM(Q22:Q31)</f>
        <v>-14.035000000000004</v>
      </c>
      <c r="R33" s="118">
        <v>-172595</v>
      </c>
      <c r="S33" s="33">
        <v>-157156.42</v>
      </c>
      <c r="T33" s="33">
        <f>SUM(T22:T31)</f>
        <v>-148996.76399999997</v>
      </c>
      <c r="U33" s="2">
        <v>67.902</v>
      </c>
      <c r="V33" s="33">
        <v>2881.014</v>
      </c>
      <c r="W33" s="33">
        <v>2671.52</v>
      </c>
      <c r="X33" s="33">
        <f>SUM(X22:X31)</f>
        <v>-1305.412</v>
      </c>
      <c r="Y33" s="33">
        <f>SUM(Y22:Y31)</f>
        <v>-92777.107</v>
      </c>
      <c r="Z33" s="33">
        <v>-88193.991</v>
      </c>
      <c r="AA33" s="33">
        <v>6877.514</v>
      </c>
      <c r="AB33" s="33"/>
      <c r="AC33" s="2">
        <f t="shared" si="1"/>
        <v>-921069.115</v>
      </c>
    </row>
    <row r="34" spans="1:29" ht="4.5" customHeight="1">
      <c r="A34" s="21"/>
      <c r="K34" s="84"/>
      <c r="AC34" s="2"/>
    </row>
    <row r="35" spans="1:29" ht="12.75">
      <c r="A35" s="21" t="s">
        <v>219</v>
      </c>
      <c r="K35" s="84"/>
      <c r="AC35" s="2"/>
    </row>
    <row r="36" spans="1:29" ht="12.75">
      <c r="A36" s="20" t="s">
        <v>215</v>
      </c>
      <c r="B36" s="2">
        <v>0</v>
      </c>
      <c r="C36" s="2">
        <v>0</v>
      </c>
      <c r="D36" s="2">
        <v>82</v>
      </c>
      <c r="E36" s="2">
        <v>133.347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83">
        <v>0</v>
      </c>
      <c r="L36" s="2">
        <v>0</v>
      </c>
      <c r="M36" s="2">
        <v>47.615</v>
      </c>
      <c r="N36" s="2">
        <v>0</v>
      </c>
      <c r="O36" s="2">
        <v>0</v>
      </c>
      <c r="P36" s="2">
        <v>3.217</v>
      </c>
      <c r="Q36" s="2">
        <v>0.082</v>
      </c>
      <c r="R36" s="2">
        <v>0</v>
      </c>
      <c r="S36" s="2">
        <v>0</v>
      </c>
      <c r="T36" s="2">
        <f>1730.406-29.245</f>
        <v>1701.161</v>
      </c>
      <c r="U36" s="2">
        <v>0</v>
      </c>
      <c r="V36" s="2">
        <v>0</v>
      </c>
      <c r="W36" s="2">
        <v>0</v>
      </c>
      <c r="X36" s="2">
        <v>0</v>
      </c>
      <c r="Y36" s="2">
        <f>4021.965-243.718</f>
        <v>3778.2470000000003</v>
      </c>
      <c r="Z36" s="2">
        <v>0</v>
      </c>
      <c r="AA36" s="2">
        <v>0</v>
      </c>
      <c r="AB36" s="2"/>
      <c r="AC36" s="2">
        <f>SUM(B36:AA36)</f>
        <v>5745.669</v>
      </c>
    </row>
    <row r="37" spans="1:29" ht="12.75">
      <c r="A37" s="20" t="s">
        <v>200</v>
      </c>
      <c r="B37" s="2">
        <v>0</v>
      </c>
      <c r="C37" s="2">
        <v>61</v>
      </c>
      <c r="D37" s="2">
        <v>0</v>
      </c>
      <c r="E37" s="2">
        <v>59.234</v>
      </c>
      <c r="F37" s="2">
        <v>0.614</v>
      </c>
      <c r="G37" s="2">
        <v>0</v>
      </c>
      <c r="H37" s="2">
        <v>0</v>
      </c>
      <c r="I37" s="2">
        <v>0</v>
      </c>
      <c r="J37" s="2">
        <v>0</v>
      </c>
      <c r="K37" s="83">
        <v>0</v>
      </c>
      <c r="L37" s="2">
        <v>0</v>
      </c>
      <c r="M37" s="2">
        <v>0</v>
      </c>
      <c r="N37" s="2">
        <v>0</v>
      </c>
      <c r="O37" s="2">
        <v>0</v>
      </c>
      <c r="P37" s="2">
        <v>0.85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f>79.838-2.1</f>
        <v>77.738</v>
      </c>
      <c r="Z37" s="2">
        <v>0</v>
      </c>
      <c r="AA37" s="2">
        <v>0</v>
      </c>
      <c r="AB37" s="2"/>
      <c r="AC37" s="2">
        <f>SUM(B37:AA37)</f>
        <v>199.436</v>
      </c>
    </row>
    <row r="38" spans="1:29" ht="12.75">
      <c r="A38" s="20" t="s">
        <v>238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83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/>
      <c r="AC38" s="2">
        <f>SUM(B38:AA38)</f>
        <v>0</v>
      </c>
    </row>
    <row r="39" spans="1:29" ht="12.75">
      <c r="A39" s="20" t="s">
        <v>199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83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/>
      <c r="AC39" s="2">
        <f>SUM(B39:AA39)</f>
        <v>0</v>
      </c>
    </row>
    <row r="40" spans="1:29" ht="12.75">
      <c r="A40" s="20" t="s">
        <v>294</v>
      </c>
      <c r="B40" s="2">
        <v>0</v>
      </c>
      <c r="C40" s="2">
        <v>0</v>
      </c>
      <c r="D40" s="2">
        <v>9.786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83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18244.778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/>
      <c r="AC40" s="2">
        <f>SUM(B40:AA40)</f>
        <v>18254.564</v>
      </c>
    </row>
    <row r="41" spans="1:29" ht="4.5" customHeight="1">
      <c r="A41" s="19"/>
      <c r="K41" s="84"/>
      <c r="AC41" s="2"/>
    </row>
    <row r="42" spans="1:29" ht="12.75">
      <c r="A42" s="36" t="s">
        <v>211</v>
      </c>
      <c r="B42" s="33">
        <f>SUM(B36:B40)</f>
        <v>0</v>
      </c>
      <c r="C42" s="33">
        <f aca="true" t="shared" si="2" ref="C42:AA42">SUM(C36:C40)</f>
        <v>61</v>
      </c>
      <c r="D42" s="33">
        <f t="shared" si="2"/>
        <v>91.786</v>
      </c>
      <c r="E42" s="33">
        <f t="shared" si="2"/>
        <v>192.58100000000002</v>
      </c>
      <c r="F42" s="33">
        <f t="shared" si="2"/>
        <v>0.614</v>
      </c>
      <c r="G42" s="33">
        <v>30.379</v>
      </c>
      <c r="H42" s="33">
        <f t="shared" si="2"/>
        <v>0</v>
      </c>
      <c r="I42" s="33">
        <f>SUM(I36:I40)</f>
        <v>0</v>
      </c>
      <c r="J42" s="33">
        <v>764.573</v>
      </c>
      <c r="K42" s="92">
        <v>1</v>
      </c>
      <c r="L42" s="92">
        <f t="shared" si="2"/>
        <v>0</v>
      </c>
      <c r="M42" s="33">
        <f t="shared" si="2"/>
        <v>47.615</v>
      </c>
      <c r="N42" s="33">
        <f t="shared" si="2"/>
        <v>0</v>
      </c>
      <c r="O42" s="33">
        <f>SUM(O36:O40)</f>
        <v>0</v>
      </c>
      <c r="P42" s="33">
        <f t="shared" si="2"/>
        <v>4.067</v>
      </c>
      <c r="Q42" s="33">
        <f t="shared" si="2"/>
        <v>0.082</v>
      </c>
      <c r="R42" s="118">
        <f t="shared" si="2"/>
        <v>0</v>
      </c>
      <c r="S42" s="33">
        <v>1532.418</v>
      </c>
      <c r="T42" s="33">
        <f t="shared" si="2"/>
        <v>19945.939</v>
      </c>
      <c r="U42" s="33">
        <f t="shared" si="2"/>
        <v>0</v>
      </c>
      <c r="V42" s="33">
        <f t="shared" si="2"/>
        <v>0</v>
      </c>
      <c r="W42" s="33">
        <f t="shared" si="2"/>
        <v>0</v>
      </c>
      <c r="X42" s="33">
        <f>SUM(X36:X40)</f>
        <v>0</v>
      </c>
      <c r="Y42" s="33">
        <f t="shared" si="2"/>
        <v>3855.985</v>
      </c>
      <c r="Z42" s="33">
        <v>4168.008</v>
      </c>
      <c r="AA42" s="33">
        <f t="shared" si="2"/>
        <v>0</v>
      </c>
      <c r="AB42" s="33"/>
      <c r="AC42" s="2">
        <f>SUM(B42:AA42)</f>
        <v>30696.047</v>
      </c>
    </row>
    <row r="43" spans="1:29" ht="4.5" customHeight="1">
      <c r="A43" s="19"/>
      <c r="K43" s="84"/>
      <c r="AC43" s="2"/>
    </row>
    <row r="44" spans="1:29" ht="12.75">
      <c r="A44" s="37" t="s">
        <v>220</v>
      </c>
      <c r="K44" s="84"/>
      <c r="AC44" s="2"/>
    </row>
    <row r="45" spans="1:29" ht="12.75">
      <c r="A45" s="20" t="s">
        <v>215</v>
      </c>
      <c r="B45" s="2">
        <v>0</v>
      </c>
      <c r="C45" s="2">
        <v>487</v>
      </c>
      <c r="D45" s="2">
        <v>37.759</v>
      </c>
      <c r="E45" s="2">
        <v>88.898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83">
        <v>0</v>
      </c>
      <c r="L45" s="2">
        <v>990.58</v>
      </c>
      <c r="M45" s="2">
        <v>15.872</v>
      </c>
      <c r="N45" s="2">
        <v>44060</v>
      </c>
      <c r="O45" s="2">
        <v>0</v>
      </c>
      <c r="P45" s="2">
        <v>3.435</v>
      </c>
      <c r="Q45" s="2">
        <v>0.082</v>
      </c>
      <c r="R45" s="2">
        <v>0</v>
      </c>
      <c r="S45" s="2">
        <v>0</v>
      </c>
      <c r="T45" s="2">
        <f>865.203-14.623</f>
        <v>850.5799999999999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/>
      <c r="AC45" s="2">
        <f>SUM(B45:AA45)</f>
        <v>46534.206</v>
      </c>
    </row>
    <row r="46" spans="1:29" ht="12.75">
      <c r="A46" s="20" t="s">
        <v>198</v>
      </c>
      <c r="B46" s="2">
        <v>143.415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f>668.128-0.211</f>
        <v>667.917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/>
      <c r="AC46" s="2">
        <f>SUM(B46:AA46)</f>
        <v>811.332</v>
      </c>
    </row>
    <row r="47" spans="1:29" ht="4.5" customHeight="1">
      <c r="A47" s="19"/>
      <c r="AC47" s="2"/>
    </row>
    <row r="48" spans="1:29" ht="12.75">
      <c r="A48" s="36" t="s">
        <v>212</v>
      </c>
      <c r="B48" s="33">
        <f>SUM(B45:B46)</f>
        <v>143.415</v>
      </c>
      <c r="C48" s="33">
        <f aca="true" t="shared" si="3" ref="C48:AA48">SUM(C45:C46)</f>
        <v>487</v>
      </c>
      <c r="D48" s="33">
        <f t="shared" si="3"/>
        <v>37.759</v>
      </c>
      <c r="E48" s="33">
        <f t="shared" si="3"/>
        <v>88.898</v>
      </c>
      <c r="F48" s="33">
        <f t="shared" si="3"/>
        <v>0</v>
      </c>
      <c r="G48" s="33">
        <v>61.678</v>
      </c>
      <c r="H48" s="33">
        <v>104.194</v>
      </c>
      <c r="I48" s="33">
        <f>SUM(I45:I46)</f>
        <v>0</v>
      </c>
      <c r="J48" s="33">
        <v>1051.37</v>
      </c>
      <c r="K48" s="33">
        <v>16</v>
      </c>
      <c r="L48" s="33">
        <f t="shared" si="3"/>
        <v>990.58</v>
      </c>
      <c r="M48" s="33">
        <f t="shared" si="3"/>
        <v>15.872</v>
      </c>
      <c r="N48" s="33">
        <f t="shared" si="3"/>
        <v>44060</v>
      </c>
      <c r="O48" s="33">
        <v>7316</v>
      </c>
      <c r="P48" s="33">
        <f t="shared" si="3"/>
        <v>3.435</v>
      </c>
      <c r="Q48" s="33">
        <f t="shared" si="3"/>
        <v>0.082</v>
      </c>
      <c r="R48" s="33">
        <f t="shared" si="3"/>
        <v>0</v>
      </c>
      <c r="S48" s="33">
        <v>3995.271</v>
      </c>
      <c r="T48" s="33">
        <f t="shared" si="3"/>
        <v>1518.4969999999998</v>
      </c>
      <c r="U48" s="33">
        <f t="shared" si="3"/>
        <v>0</v>
      </c>
      <c r="V48" s="33">
        <f t="shared" si="3"/>
        <v>0</v>
      </c>
      <c r="W48" s="33">
        <f t="shared" si="3"/>
        <v>0</v>
      </c>
      <c r="X48" s="33">
        <f>SUM(X45:X46)</f>
        <v>0</v>
      </c>
      <c r="Y48" s="33">
        <f>4421.503-122.054</f>
        <v>4299.449</v>
      </c>
      <c r="Z48" s="33">
        <v>1263.87</v>
      </c>
      <c r="AA48" s="33">
        <f t="shared" si="3"/>
        <v>0</v>
      </c>
      <c r="AB48" s="33"/>
      <c r="AC48" s="2">
        <f>SUM(B48:AA48)</f>
        <v>65453.37000000001</v>
      </c>
    </row>
    <row r="49" spans="1:29" ht="5.25" customHeight="1">
      <c r="A49" s="19"/>
      <c r="AC49" s="2"/>
    </row>
    <row r="50" spans="1:29" ht="12.75">
      <c r="A50" s="21" t="s">
        <v>221</v>
      </c>
      <c r="B50" s="81">
        <v>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0.099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  <c r="Z50" s="81">
        <v>0</v>
      </c>
      <c r="AA50" s="81">
        <v>0</v>
      </c>
      <c r="AB50" s="81"/>
      <c r="AC50" s="2">
        <f>SUM(B50:AA50)</f>
        <v>0.099</v>
      </c>
    </row>
    <row r="51" spans="1:29" ht="6" customHeight="1">
      <c r="A51" s="1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2"/>
    </row>
    <row r="52" spans="1:29" ht="12.75">
      <c r="A52" s="21" t="s">
        <v>222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  <c r="Z52" s="81">
        <v>744.877</v>
      </c>
      <c r="AA52" s="81">
        <v>0</v>
      </c>
      <c r="AB52" s="81"/>
      <c r="AC52" s="2">
        <f>SUM(B52:AA52)</f>
        <v>744.877</v>
      </c>
    </row>
    <row r="53" spans="1:29" ht="5.25" customHeight="1">
      <c r="A53" s="19"/>
      <c r="AC53" s="2"/>
    </row>
    <row r="54" spans="1:29" ht="12.75">
      <c r="A54" s="21" t="s">
        <v>223</v>
      </c>
      <c r="AC54" s="2"/>
    </row>
    <row r="55" spans="1:29" ht="12.75">
      <c r="A55" s="21" t="s">
        <v>224</v>
      </c>
      <c r="B55" s="33">
        <f>B11-B19+B33-B42-B48+B50-B52</f>
        <v>206276.762</v>
      </c>
      <c r="C55" s="33">
        <f>C11-C19+C33-C42-C48+C50-C52+1</f>
        <v>211403</v>
      </c>
      <c r="D55" s="33">
        <f>D11-D19+D33-D42-D48+D50-D52</f>
        <v>20379.112000000005</v>
      </c>
      <c r="E55" s="33">
        <f>E11-E19+E33-E42-E48+E50-E52</f>
        <v>13899.394999999999</v>
      </c>
      <c r="F55" s="33">
        <f>+F11-F19+F33-F42-F48+F50-F52</f>
        <v>2759.535</v>
      </c>
      <c r="G55" s="33">
        <f aca="true" t="shared" si="4" ref="G55:S55">G11-G19+G33-G42-G48+G50-G52</f>
        <v>72684.98599999999</v>
      </c>
      <c r="H55" s="33">
        <f t="shared" si="4"/>
        <v>8085.901000000001</v>
      </c>
      <c r="I55" s="33">
        <f>I11-I19+I33-I42-I48+I50-I52</f>
        <v>37318.573</v>
      </c>
      <c r="J55" s="33">
        <f t="shared" si="4"/>
        <v>204341.001</v>
      </c>
      <c r="K55" s="33">
        <f t="shared" si="4"/>
        <v>2526</v>
      </c>
      <c r="L55" s="33">
        <f t="shared" si="4"/>
        <v>53411.611</v>
      </c>
      <c r="M55" s="33">
        <f t="shared" si="4"/>
        <v>2344.1100000000006</v>
      </c>
      <c r="N55" s="33">
        <f t="shared" si="4"/>
        <v>720546</v>
      </c>
      <c r="O55" s="33">
        <f>O11-O19+O33-O42-O48+O50-O52</f>
        <v>1077715</v>
      </c>
      <c r="P55" s="33">
        <f t="shared" si="4"/>
        <v>1299.939</v>
      </c>
      <c r="Q55" s="33">
        <f t="shared" si="4"/>
        <v>2894.0820000000003</v>
      </c>
      <c r="R55" s="33">
        <f t="shared" si="4"/>
        <v>741655</v>
      </c>
      <c r="S55" s="33">
        <f t="shared" si="4"/>
        <v>-30720.45899999999</v>
      </c>
      <c r="T55" s="33">
        <f>552378.019-114686.911</f>
        <v>437691.108</v>
      </c>
      <c r="U55" s="33">
        <f aca="true" t="shared" si="5" ref="U55:AA55">U11-U19+U33-U42-U48+U50-U52</f>
        <v>556.316</v>
      </c>
      <c r="V55" s="33">
        <f t="shared" si="5"/>
        <v>32077.837</v>
      </c>
      <c r="W55" s="33">
        <f t="shared" si="5"/>
        <v>23711.87</v>
      </c>
      <c r="X55" s="33">
        <f>X11-X19+X33-X42-X48+X50-X52</f>
        <v>12040.204999999998</v>
      </c>
      <c r="Y55" s="33">
        <f t="shared" si="5"/>
        <v>154245.57499999998</v>
      </c>
      <c r="Z55" s="33">
        <f>Z11-Z19+Z33-Z42-Z48+Z50-Z52</f>
        <v>-69732.85199999998</v>
      </c>
      <c r="AA55" s="33">
        <f t="shared" si="5"/>
        <v>-23929.683</v>
      </c>
      <c r="AB55" s="33"/>
      <c r="AC55" s="2">
        <f>SUM(B55:AA55)</f>
        <v>3915479.924</v>
      </c>
    </row>
    <row r="56" spans="1:29" ht="6" customHeight="1">
      <c r="A56" s="19"/>
      <c r="AC56" s="2"/>
    </row>
    <row r="57" spans="1:29" ht="12.75" hidden="1">
      <c r="A57" s="21" t="s">
        <v>225</v>
      </c>
      <c r="B57" s="33">
        <f>B58+B59</f>
        <v>0</v>
      </c>
      <c r="C57" s="33">
        <f>C58+C59</f>
        <v>0</v>
      </c>
      <c r="D57" s="33">
        <f>D58+D59</f>
        <v>0</v>
      </c>
      <c r="E57" s="33">
        <f>E58+E59</f>
        <v>0</v>
      </c>
      <c r="G57" s="33"/>
      <c r="H57" s="33"/>
      <c r="I57" s="33">
        <f>I58+I59</f>
        <v>0</v>
      </c>
      <c r="J57" s="33">
        <f>J58+J59</f>
        <v>0</v>
      </c>
      <c r="K57" s="33">
        <v>0</v>
      </c>
      <c r="L57" s="33">
        <f>L58+L59</f>
        <v>0</v>
      </c>
      <c r="M57" s="33">
        <f>M58+M59</f>
        <v>0</v>
      </c>
      <c r="N57" s="33">
        <f>N58+N59</f>
        <v>0</v>
      </c>
      <c r="O57" s="33"/>
      <c r="P57" s="33">
        <f>P58+P59</f>
        <v>0</v>
      </c>
      <c r="Q57" s="33">
        <f aca="true" t="shared" si="6" ref="Q57:W57">Q58+Q59</f>
        <v>0</v>
      </c>
      <c r="R57" s="33">
        <f t="shared" si="6"/>
        <v>0</v>
      </c>
      <c r="S57" s="33">
        <f t="shared" si="6"/>
        <v>0</v>
      </c>
      <c r="T57" s="33">
        <f t="shared" si="6"/>
        <v>0</v>
      </c>
      <c r="U57" s="33">
        <f t="shared" si="6"/>
        <v>0</v>
      </c>
      <c r="V57" s="33">
        <f t="shared" si="6"/>
        <v>0</v>
      </c>
      <c r="W57" s="33">
        <f t="shared" si="6"/>
        <v>0</v>
      </c>
      <c r="X57" s="33">
        <f>X58+X59</f>
        <v>0</v>
      </c>
      <c r="Y57" s="33">
        <f>Y58+Y59</f>
        <v>0</v>
      </c>
      <c r="AA57" s="33">
        <f>AA58+AA59</f>
        <v>0</v>
      </c>
      <c r="AB57" s="33"/>
      <c r="AC57" s="2">
        <f>SUM(B57:AA57)</f>
        <v>0</v>
      </c>
    </row>
    <row r="58" spans="1:29" ht="12.75" hidden="1">
      <c r="A58" s="20" t="s">
        <v>196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  <c r="Z58" s="81">
        <v>0</v>
      </c>
      <c r="AA58" s="81">
        <v>0</v>
      </c>
      <c r="AB58" s="81"/>
      <c r="AC58" s="2">
        <f>SUM(B58:AA58)</f>
        <v>0</v>
      </c>
    </row>
    <row r="59" spans="1:29" ht="12.75" hidden="1">
      <c r="A59" s="20" t="s">
        <v>197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  <c r="AB59" s="81"/>
      <c r="AC59" s="2">
        <f>SUM(B59:AA59)</f>
        <v>0</v>
      </c>
    </row>
    <row r="60" spans="1:29" ht="4.5" customHeight="1">
      <c r="A60" s="21"/>
      <c r="AC60" s="2"/>
    </row>
    <row r="61" spans="1:29" ht="12.75">
      <c r="A61" s="21" t="s">
        <v>226</v>
      </c>
      <c r="B61" s="81">
        <v>0</v>
      </c>
      <c r="C61" s="81">
        <v>17394</v>
      </c>
      <c r="D61" s="81">
        <v>1174.709</v>
      </c>
      <c r="E61" s="81">
        <v>1732.047</v>
      </c>
      <c r="F61" s="81">
        <v>78.876</v>
      </c>
      <c r="G61" s="81">
        <v>0</v>
      </c>
      <c r="H61" s="81">
        <v>16.606</v>
      </c>
      <c r="I61" s="81">
        <v>0</v>
      </c>
      <c r="J61" s="81">
        <v>0</v>
      </c>
      <c r="K61" s="81">
        <v>145</v>
      </c>
      <c r="L61" s="81">
        <v>0</v>
      </c>
      <c r="M61" s="81">
        <v>103.894</v>
      </c>
      <c r="N61" s="81">
        <v>318494</v>
      </c>
      <c r="O61" s="81">
        <v>286501</v>
      </c>
      <c r="P61" s="81">
        <v>31.341</v>
      </c>
      <c r="Q61" s="81">
        <v>52.177</v>
      </c>
      <c r="R61" s="81">
        <v>0</v>
      </c>
      <c r="S61" s="81">
        <v>187548.446</v>
      </c>
      <c r="T61" s="81">
        <f>148684.061-2777.776</f>
        <v>145906.28499999997</v>
      </c>
      <c r="U61" s="81">
        <v>0</v>
      </c>
      <c r="V61" s="81">
        <v>0</v>
      </c>
      <c r="W61" s="81">
        <v>0</v>
      </c>
      <c r="X61" s="81">
        <v>510.043</v>
      </c>
      <c r="Y61" s="81">
        <f>47688.322-4239.492</f>
        <v>43448.83</v>
      </c>
      <c r="Z61" s="81">
        <v>43638.758</v>
      </c>
      <c r="AA61" s="81">
        <v>0</v>
      </c>
      <c r="AB61" s="81"/>
      <c r="AC61" s="2">
        <f>SUM(B61:AA61)</f>
        <v>1046776.012</v>
      </c>
    </row>
    <row r="62" spans="1:29" ht="5.25" customHeight="1">
      <c r="A62" s="21"/>
      <c r="AC62" s="2"/>
    </row>
    <row r="63" spans="1:29" ht="12.75">
      <c r="A63" s="21" t="s">
        <v>227</v>
      </c>
      <c r="B63" s="33">
        <f aca="true" t="shared" si="7" ref="B63:AA63">B55+B57+B61</f>
        <v>206276.762</v>
      </c>
      <c r="C63" s="33">
        <f t="shared" si="7"/>
        <v>228797</v>
      </c>
      <c r="D63" s="33">
        <f t="shared" si="7"/>
        <v>21553.821000000004</v>
      </c>
      <c r="E63" s="33">
        <f t="shared" si="7"/>
        <v>15631.442</v>
      </c>
      <c r="F63" s="33">
        <f t="shared" si="7"/>
        <v>2838.411</v>
      </c>
      <c r="G63" s="33">
        <f t="shared" si="7"/>
        <v>72684.98599999999</v>
      </c>
      <c r="H63" s="33">
        <f t="shared" si="7"/>
        <v>8102.5070000000005</v>
      </c>
      <c r="I63" s="33">
        <f t="shared" si="7"/>
        <v>37318.573</v>
      </c>
      <c r="J63" s="33">
        <f t="shared" si="7"/>
        <v>204341.001</v>
      </c>
      <c r="K63" s="33">
        <f t="shared" si="7"/>
        <v>2671</v>
      </c>
      <c r="L63" s="33">
        <f t="shared" si="7"/>
        <v>53411.611</v>
      </c>
      <c r="M63" s="33">
        <f t="shared" si="7"/>
        <v>2448.004000000001</v>
      </c>
      <c r="N63" s="33">
        <f t="shared" si="7"/>
        <v>1039040</v>
      </c>
      <c r="O63" s="33">
        <f t="shared" si="7"/>
        <v>1364216</v>
      </c>
      <c r="P63" s="33">
        <f t="shared" si="7"/>
        <v>1331.28</v>
      </c>
      <c r="Q63" s="33">
        <f t="shared" si="7"/>
        <v>2946.2590000000005</v>
      </c>
      <c r="R63" s="33">
        <f t="shared" si="7"/>
        <v>741655</v>
      </c>
      <c r="S63" s="33">
        <f t="shared" si="7"/>
        <v>156827.987</v>
      </c>
      <c r="T63" s="33">
        <f t="shared" si="7"/>
        <v>583597.3929999999</v>
      </c>
      <c r="U63" s="33">
        <f t="shared" si="7"/>
        <v>556.316</v>
      </c>
      <c r="V63" s="33">
        <f t="shared" si="7"/>
        <v>32077.837</v>
      </c>
      <c r="W63" s="33">
        <f t="shared" si="7"/>
        <v>23711.87</v>
      </c>
      <c r="X63" s="33">
        <f t="shared" si="7"/>
        <v>12550.247999999998</v>
      </c>
      <c r="Y63" s="33">
        <f t="shared" si="7"/>
        <v>197694.40499999997</v>
      </c>
      <c r="Z63" s="33">
        <f t="shared" si="7"/>
        <v>-26094.093999999983</v>
      </c>
      <c r="AA63" s="33">
        <f t="shared" si="7"/>
        <v>-23929.683</v>
      </c>
      <c r="AB63" s="33"/>
      <c r="AC63" s="2">
        <f>SUM(B63:AA63)</f>
        <v>4962255.936</v>
      </c>
    </row>
    <row r="64" spans="1:29" ht="4.5" customHeight="1">
      <c r="A64" s="19"/>
      <c r="AC64" s="2"/>
    </row>
    <row r="65" spans="1:29" ht="12.75">
      <c r="A65" s="21" t="s">
        <v>228</v>
      </c>
      <c r="B65" s="81">
        <v>144533.069</v>
      </c>
      <c r="C65" s="81">
        <v>213565</v>
      </c>
      <c r="D65" s="81">
        <v>19333.015</v>
      </c>
      <c r="E65" s="81">
        <v>34847.251</v>
      </c>
      <c r="F65" s="81">
        <v>690.473</v>
      </c>
      <c r="G65" s="81">
        <v>8131.71</v>
      </c>
      <c r="H65" s="81">
        <v>11503.547</v>
      </c>
      <c r="I65" s="81">
        <v>26915.934</v>
      </c>
      <c r="J65" s="81">
        <v>323430.869</v>
      </c>
      <c r="K65" s="81">
        <v>2136</v>
      </c>
      <c r="L65" s="81">
        <v>31452.117</v>
      </c>
      <c r="M65" s="81">
        <v>1475.865</v>
      </c>
      <c r="N65" s="81">
        <v>7335226</v>
      </c>
      <c r="O65" s="81">
        <v>6397789</v>
      </c>
      <c r="P65" s="81">
        <v>1090.303</v>
      </c>
      <c r="Q65" s="81"/>
      <c r="R65" s="81">
        <v>5390676</v>
      </c>
      <c r="S65" s="81">
        <v>4505169.59</v>
      </c>
      <c r="T65" s="81">
        <f>3322550.51-9889.646</f>
        <v>3312660.8639999996</v>
      </c>
      <c r="U65" s="81">
        <v>360.326</v>
      </c>
      <c r="V65" s="81">
        <v>25854.708</v>
      </c>
      <c r="W65" s="81">
        <v>20833.489</v>
      </c>
      <c r="X65" s="81">
        <v>7016.768</v>
      </c>
      <c r="Y65" s="81">
        <v>1033815.555</v>
      </c>
      <c r="Z65" s="81">
        <v>1069744.571</v>
      </c>
      <c r="AA65" s="81">
        <v>91040.053</v>
      </c>
      <c r="AB65" s="81"/>
      <c r="AC65" s="2">
        <f>SUM(B65:AA65)</f>
        <v>30009292.076999996</v>
      </c>
    </row>
    <row r="66" spans="1:29" ht="6.75" customHeight="1">
      <c r="A66" s="21"/>
      <c r="AC66" s="2"/>
    </row>
    <row r="67" spans="1:29" ht="12" customHeight="1">
      <c r="A67" s="21" t="s">
        <v>258</v>
      </c>
      <c r="AC67" s="2"/>
    </row>
    <row r="68" spans="1:29" ht="12.75">
      <c r="A68" s="21" t="s">
        <v>259</v>
      </c>
      <c r="B68" s="33">
        <f aca="true" t="shared" si="8" ref="B68:H68">B65+B63</f>
        <v>350809.831</v>
      </c>
      <c r="C68" s="33">
        <f t="shared" si="8"/>
        <v>442362</v>
      </c>
      <c r="D68" s="33">
        <f t="shared" si="8"/>
        <v>40886.836</v>
      </c>
      <c r="E68" s="33">
        <f t="shared" si="8"/>
        <v>50478.693</v>
      </c>
      <c r="F68" s="33">
        <f t="shared" si="8"/>
        <v>3528.884</v>
      </c>
      <c r="G68" s="33">
        <f t="shared" si="8"/>
        <v>80816.696</v>
      </c>
      <c r="H68" s="33">
        <f t="shared" si="8"/>
        <v>19606.054</v>
      </c>
      <c r="I68" s="33">
        <f>I65+I63</f>
        <v>64234.507</v>
      </c>
      <c r="J68" s="33">
        <f aca="true" t="shared" si="9" ref="J68:AA68">J65+J63</f>
        <v>527771.87</v>
      </c>
      <c r="K68" s="33">
        <f t="shared" si="9"/>
        <v>4807</v>
      </c>
      <c r="L68" s="33">
        <f t="shared" si="9"/>
        <v>84863.728</v>
      </c>
      <c r="M68" s="33">
        <f t="shared" si="9"/>
        <v>3923.8690000000006</v>
      </c>
      <c r="N68" s="33">
        <f t="shared" si="9"/>
        <v>8374266</v>
      </c>
      <c r="O68" s="33">
        <f>O65+O63</f>
        <v>7762005</v>
      </c>
      <c r="P68" s="33">
        <f t="shared" si="9"/>
        <v>2421.583</v>
      </c>
      <c r="Q68" s="33">
        <f t="shared" si="9"/>
        <v>2946.2590000000005</v>
      </c>
      <c r="R68" s="33">
        <f t="shared" si="9"/>
        <v>6132331</v>
      </c>
      <c r="S68" s="33">
        <f t="shared" si="9"/>
        <v>4661997.577</v>
      </c>
      <c r="T68" s="33">
        <f t="shared" si="9"/>
        <v>3896258.2569999993</v>
      </c>
      <c r="U68" s="33">
        <f t="shared" si="9"/>
        <v>916.642</v>
      </c>
      <c r="V68" s="33">
        <f t="shared" si="9"/>
        <v>57932.545</v>
      </c>
      <c r="W68" s="33">
        <f t="shared" si="9"/>
        <v>44545.359</v>
      </c>
      <c r="X68" s="33">
        <f>X65+X63</f>
        <v>19567.015999999996</v>
      </c>
      <c r="Y68" s="33">
        <f t="shared" si="9"/>
        <v>1231509.96</v>
      </c>
      <c r="Z68" s="33">
        <f>Z65+Z63</f>
        <v>1043650.477</v>
      </c>
      <c r="AA68" s="33">
        <f t="shared" si="9"/>
        <v>67110.37</v>
      </c>
      <c r="AB68" s="33"/>
      <c r="AC68" s="2">
        <f>SUM(B68:AA68)</f>
        <v>34971548.013</v>
      </c>
    </row>
    <row r="69" spans="2:29" ht="12.75">
      <c r="B69" s="33">
        <f>+B68-'Séreignardeildir - Efnah.'!B49</f>
        <v>0</v>
      </c>
      <c r="C69" s="33">
        <f>+C68-'Séreignardeildir - Efnah.'!C49</f>
        <v>0</v>
      </c>
      <c r="D69" s="33">
        <f>+D68-'Séreignardeildir - Efnah.'!D49</f>
        <v>0.000999999996565748</v>
      </c>
      <c r="E69" s="33">
        <f>+E68-'Séreignardeildir - Efnah.'!E49</f>
        <v>-0.04800000000250293</v>
      </c>
      <c r="F69" s="33">
        <f>+F68-'Séreignardeildir - Efnah.'!F49</f>
        <v>0</v>
      </c>
      <c r="G69" s="33">
        <f>+G68-'Séreignardeildir - Efnah.'!G49</f>
        <v>0</v>
      </c>
      <c r="H69" s="33">
        <f>+H68-'Séreignardeildir - Efnah.'!H49</f>
        <v>-0.0010000000038417056</v>
      </c>
      <c r="I69" s="33">
        <f>+I68-'Séreignardeildir - Efnah.'!I49</f>
        <v>0</v>
      </c>
      <c r="J69" s="33">
        <f>+J68-'Séreignardeildir - Efnah.'!J49</f>
        <v>0</v>
      </c>
      <c r="K69" s="92">
        <f>+K68-'Séreignardeildir - Efnah.'!K49</f>
        <v>-0.33399999999983265</v>
      </c>
      <c r="L69" s="92">
        <f>+L68-'Séreignardeildir - Efnah.'!L49</f>
        <v>0.27900000000954606</v>
      </c>
      <c r="M69" s="33">
        <f>+M68-'Séreignardeildir - Efnah.'!M49</f>
        <v>0</v>
      </c>
      <c r="N69" s="33">
        <f>+N68-'Séreignardeildir - Efnah.'!N49</f>
        <v>0</v>
      </c>
      <c r="O69" s="33">
        <f>+O68-'Séreignardeildir - Efnah.'!O49</f>
        <v>0</v>
      </c>
      <c r="P69" s="33">
        <f>+P68-'Séreignardeildir - Efnah.'!P49</f>
        <v>0.05400000000008731</v>
      </c>
      <c r="Q69" s="33">
        <f>+Q68-'Séreignardeildir - Efnah.'!Q49</f>
        <v>-0.0819999999994252</v>
      </c>
      <c r="R69" s="33">
        <f>+R68-'Séreignardeildir - Efnah.'!R49</f>
        <v>0</v>
      </c>
      <c r="S69" s="33">
        <f>+S68-'Séreignardeildir - Efnah.'!S49</f>
        <v>0</v>
      </c>
      <c r="T69" s="33">
        <f>+T68-'Séreignardeildir - Efnah.'!T49</f>
        <v>-0.0010000006295740604</v>
      </c>
      <c r="U69" s="33">
        <f>+U68-'Séreignardeildir - Efnah.'!U49</f>
        <v>0</v>
      </c>
      <c r="V69" s="33">
        <f>+V68-'Séreignardeildir - Efnah.'!V49</f>
        <v>0</v>
      </c>
      <c r="W69" s="33">
        <f>+W68-'Séreignardeildir - Efnah.'!W49</f>
        <v>0</v>
      </c>
      <c r="X69" s="33">
        <f>+X68-'Séreignardeildir - Efnah.'!X49</f>
        <v>0</v>
      </c>
      <c r="Y69" s="33">
        <f>+Y68-'Séreignardeildir - Efnah.'!Y49</f>
        <v>0</v>
      </c>
      <c r="Z69" s="33">
        <f>+Z68-'Séreignardeildir - Efnah.'!Z49</f>
        <v>0</v>
      </c>
      <c r="AA69" s="33">
        <f>+AA68-'Séreignardeildir - Efnah.'!AA49</f>
        <v>0.0009999999892897904</v>
      </c>
      <c r="AB69" s="33"/>
      <c r="AC69" s="33">
        <f>+AC68-'Séreignardeildir - Efnah.'!AB49</f>
        <v>34971548.013</v>
      </c>
    </row>
    <row r="70" ht="12.75">
      <c r="D70" s="83"/>
    </row>
    <row r="72" ht="12">
      <c r="D72" s="87"/>
    </row>
    <row r="73" ht="12.75">
      <c r="D73" s="83"/>
    </row>
    <row r="74" ht="12.75">
      <c r="D74" s="88"/>
    </row>
    <row r="75" ht="12.75">
      <c r="D75" s="89"/>
    </row>
    <row r="76" ht="12">
      <c r="D76" s="87"/>
    </row>
    <row r="77" ht="12.75">
      <c r="D77" s="88"/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&amp;C&amp;"Times New Roman,Bold"&amp;14 3.6. YFIRLIT UM BREYTINGAR Á HREINNI EIGN TIL GREIÐSLU LÍFEYRIS SÉREIGNADEILDA FYRIR ÁRIÐ 2000</oddHeader>
    <oddFooter>&amp;CPage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N64"/>
  <sheetViews>
    <sheetView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54" sqref="W54"/>
    </sheetView>
  </sheetViews>
  <sheetFormatPr defaultColWidth="9.00390625" defaultRowHeight="12.75"/>
  <cols>
    <col min="1" max="1" width="27.00390625" style="0" customWidth="1"/>
    <col min="3" max="3" width="9.125" style="0" customWidth="1"/>
    <col min="29" max="29" width="9.50390625" style="0" customWidth="1"/>
    <col min="30" max="30" width="2.625" style="0" customWidth="1"/>
  </cols>
  <sheetData>
    <row r="1" spans="1:30" ht="12.75">
      <c r="A1" s="44"/>
      <c r="B1" s="41" t="s">
        <v>0</v>
      </c>
      <c r="C1" s="41" t="s">
        <v>0</v>
      </c>
      <c r="D1" s="41" t="s">
        <v>0</v>
      </c>
      <c r="E1" s="41" t="s">
        <v>1</v>
      </c>
      <c r="F1" s="41" t="s">
        <v>0</v>
      </c>
      <c r="G1" s="41" t="s">
        <v>0</v>
      </c>
      <c r="H1" s="41" t="s">
        <v>2</v>
      </c>
      <c r="I1" s="41" t="s">
        <v>0</v>
      </c>
      <c r="J1" s="41" t="s">
        <v>3</v>
      </c>
      <c r="K1" s="41" t="s">
        <v>0</v>
      </c>
      <c r="L1" s="41" t="s">
        <v>0</v>
      </c>
      <c r="M1" s="41" t="s">
        <v>0</v>
      </c>
      <c r="N1" s="41" t="s">
        <v>5</v>
      </c>
      <c r="O1" s="41" t="s">
        <v>7</v>
      </c>
      <c r="P1" s="41" t="s">
        <v>0</v>
      </c>
      <c r="Q1" s="41" t="s">
        <v>265</v>
      </c>
      <c r="R1" s="41" t="s">
        <v>6</v>
      </c>
      <c r="S1" s="41" t="s">
        <v>0</v>
      </c>
      <c r="T1" s="41" t="s">
        <v>8</v>
      </c>
      <c r="U1" s="41" t="s">
        <v>0</v>
      </c>
      <c r="V1" s="41" t="s">
        <v>6</v>
      </c>
      <c r="W1" s="41" t="s">
        <v>0</v>
      </c>
      <c r="X1" s="41" t="s">
        <v>0</v>
      </c>
      <c r="Y1" s="41" t="s">
        <v>50</v>
      </c>
      <c r="Z1" s="41" t="s">
        <v>0</v>
      </c>
      <c r="AA1" s="41" t="s">
        <v>9</v>
      </c>
      <c r="AB1" s="41"/>
      <c r="AC1" s="41" t="s">
        <v>10</v>
      </c>
      <c r="AD1" s="41"/>
    </row>
    <row r="2" spans="1:30" ht="12.75">
      <c r="A2" s="46" t="s">
        <v>11</v>
      </c>
      <c r="B2" s="41" t="s">
        <v>12</v>
      </c>
      <c r="C2" s="41" t="s">
        <v>339</v>
      </c>
      <c r="D2" s="41" t="s">
        <v>16</v>
      </c>
      <c r="E2" s="41" t="s">
        <v>15</v>
      </c>
      <c r="F2" s="41" t="s">
        <v>13</v>
      </c>
      <c r="G2" s="41" t="s">
        <v>17</v>
      </c>
      <c r="H2" s="41" t="s">
        <v>15</v>
      </c>
      <c r="I2" s="41" t="s">
        <v>234</v>
      </c>
      <c r="J2" s="41" t="s">
        <v>15</v>
      </c>
      <c r="K2" s="41" t="s">
        <v>20</v>
      </c>
      <c r="L2" s="41" t="s">
        <v>284</v>
      </c>
      <c r="M2" s="41" t="s">
        <v>23</v>
      </c>
      <c r="N2" s="41" t="s">
        <v>15</v>
      </c>
      <c r="O2" s="41" t="s">
        <v>30</v>
      </c>
      <c r="P2" s="41" t="s">
        <v>24</v>
      </c>
      <c r="Q2" s="41" t="s">
        <v>46</v>
      </c>
      <c r="R2" s="41" t="s">
        <v>29</v>
      </c>
      <c r="S2" s="41" t="s">
        <v>275</v>
      </c>
      <c r="T2" s="41" t="s">
        <v>15</v>
      </c>
      <c r="U2" s="41" t="s">
        <v>26</v>
      </c>
      <c r="V2" s="41" t="s">
        <v>29</v>
      </c>
      <c r="W2" s="41" t="s">
        <v>27</v>
      </c>
      <c r="X2" s="41" t="s">
        <v>14</v>
      </c>
      <c r="Y2" s="41" t="s">
        <v>15</v>
      </c>
      <c r="Z2" s="41" t="s">
        <v>39</v>
      </c>
      <c r="AA2" s="41" t="s">
        <v>46</v>
      </c>
      <c r="AB2" s="41"/>
      <c r="AC2" s="41" t="s">
        <v>49</v>
      </c>
      <c r="AD2" s="41"/>
    </row>
    <row r="3" spans="1:30" ht="12.75">
      <c r="A3" s="44"/>
      <c r="B3" s="41" t="s">
        <v>51</v>
      </c>
      <c r="C3" s="41"/>
      <c r="D3" s="41" t="s">
        <v>137</v>
      </c>
      <c r="E3" s="41" t="s">
        <v>29</v>
      </c>
      <c r="F3" s="41" t="s">
        <v>137</v>
      </c>
      <c r="G3" s="41" t="s">
        <v>53</v>
      </c>
      <c r="H3" s="41" t="s">
        <v>52</v>
      </c>
      <c r="I3" s="41" t="s">
        <v>137</v>
      </c>
      <c r="J3" s="41" t="s">
        <v>29</v>
      </c>
      <c r="K3" s="41" t="s">
        <v>54</v>
      </c>
      <c r="L3" s="41" t="s">
        <v>283</v>
      </c>
      <c r="M3" s="41" t="s">
        <v>262</v>
      </c>
      <c r="N3" s="41" t="s">
        <v>29</v>
      </c>
      <c r="O3" s="41" t="s">
        <v>62</v>
      </c>
      <c r="P3" s="41" t="s">
        <v>53</v>
      </c>
      <c r="Q3" s="41" t="s">
        <v>266</v>
      </c>
      <c r="R3" s="41" t="s">
        <v>77</v>
      </c>
      <c r="S3" s="41" t="s">
        <v>276</v>
      </c>
      <c r="T3" s="41" t="s">
        <v>73</v>
      </c>
      <c r="U3" s="41" t="s">
        <v>57</v>
      </c>
      <c r="V3" s="41" t="s">
        <v>61</v>
      </c>
      <c r="W3" s="41">
        <v>0</v>
      </c>
      <c r="X3" s="41" t="s">
        <v>277</v>
      </c>
      <c r="Y3" s="41" t="s">
        <v>29</v>
      </c>
      <c r="Z3" s="41" t="s">
        <v>56</v>
      </c>
      <c r="AA3" s="41" t="s">
        <v>81</v>
      </c>
      <c r="AB3" s="41"/>
      <c r="AC3" s="41" t="s">
        <v>84</v>
      </c>
      <c r="AD3" s="41"/>
    </row>
    <row r="4" spans="1:30" s="112" customFormat="1" ht="12.75">
      <c r="A4" s="47"/>
      <c r="B4" s="113">
        <v>1</v>
      </c>
      <c r="C4" s="113">
        <v>2</v>
      </c>
      <c r="D4" s="113">
        <v>3</v>
      </c>
      <c r="E4" s="113">
        <v>4</v>
      </c>
      <c r="F4" s="113">
        <v>5</v>
      </c>
      <c r="G4" s="113">
        <v>6</v>
      </c>
      <c r="H4" s="113">
        <v>7</v>
      </c>
      <c r="I4" s="113">
        <v>9</v>
      </c>
      <c r="J4" s="113">
        <v>10</v>
      </c>
      <c r="K4" s="113">
        <v>12</v>
      </c>
      <c r="L4" s="113">
        <v>16</v>
      </c>
      <c r="M4" s="113">
        <v>17</v>
      </c>
      <c r="N4" s="113">
        <v>18</v>
      </c>
      <c r="O4" s="113">
        <v>19</v>
      </c>
      <c r="P4" s="113">
        <v>21</v>
      </c>
      <c r="Q4" s="113">
        <v>22</v>
      </c>
      <c r="R4" s="113">
        <v>23</v>
      </c>
      <c r="S4" s="113">
        <v>25</v>
      </c>
      <c r="T4" s="113">
        <v>27</v>
      </c>
      <c r="U4" s="113">
        <v>28</v>
      </c>
      <c r="V4" s="113">
        <v>29</v>
      </c>
      <c r="W4" s="113">
        <v>30</v>
      </c>
      <c r="X4" s="113">
        <v>37</v>
      </c>
      <c r="Y4" s="113">
        <v>40</v>
      </c>
      <c r="Z4" s="113">
        <v>43</v>
      </c>
      <c r="AA4" s="113">
        <v>54</v>
      </c>
      <c r="AB4" s="113"/>
      <c r="AC4" s="113">
        <v>0</v>
      </c>
      <c r="AD4" s="113"/>
    </row>
    <row r="5" spans="1:30" ht="12.75">
      <c r="A5" s="49" t="s">
        <v>229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C5" s="48"/>
      <c r="AD5" s="48"/>
    </row>
    <row r="6" spans="1:30" ht="6" customHeight="1">
      <c r="A6" s="4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C6" s="48"/>
      <c r="AD6" s="48"/>
    </row>
    <row r="7" spans="1:30" ht="5.25" customHeight="1">
      <c r="A7" s="51"/>
      <c r="AC7" s="33"/>
      <c r="AD7" s="33"/>
    </row>
    <row r="8" spans="1:30" ht="12.75">
      <c r="A8" s="49" t="s">
        <v>270</v>
      </c>
      <c r="AC8" s="33"/>
      <c r="AD8" s="33"/>
    </row>
    <row r="9" spans="1:30" ht="12.75">
      <c r="A9" s="51" t="s">
        <v>243</v>
      </c>
      <c r="B9" s="38">
        <v>0</v>
      </c>
      <c r="C9" s="38">
        <v>426529</v>
      </c>
      <c r="D9" s="38">
        <v>10186.92</v>
      </c>
      <c r="E9" s="38">
        <v>0</v>
      </c>
      <c r="F9" s="38">
        <v>3491.676</v>
      </c>
      <c r="G9" s="38">
        <v>13281.841</v>
      </c>
      <c r="H9" s="38">
        <v>8005.606</v>
      </c>
      <c r="I9" s="38">
        <v>0</v>
      </c>
      <c r="J9" s="38">
        <v>0</v>
      </c>
      <c r="K9" s="38">
        <v>0</v>
      </c>
      <c r="L9" s="38">
        <v>0</v>
      </c>
      <c r="M9" s="38">
        <v>1410.724</v>
      </c>
      <c r="N9" s="38">
        <v>0</v>
      </c>
      <c r="O9" s="38">
        <v>0</v>
      </c>
      <c r="P9" s="38">
        <v>795.213</v>
      </c>
      <c r="Q9" s="38">
        <v>2914.042</v>
      </c>
      <c r="R9" s="38">
        <v>0</v>
      </c>
      <c r="S9" s="38">
        <v>0</v>
      </c>
      <c r="T9" s="38">
        <f>2916805.652-114354.576</f>
        <v>2802451.076</v>
      </c>
      <c r="U9" s="38">
        <v>0</v>
      </c>
      <c r="V9" s="38">
        <v>0</v>
      </c>
      <c r="W9" s="38">
        <v>0</v>
      </c>
      <c r="X9" s="38">
        <v>17176.202</v>
      </c>
      <c r="Y9" s="38">
        <f>401040.448-16979.033</f>
        <v>384061.415</v>
      </c>
      <c r="Z9" s="38">
        <v>0</v>
      </c>
      <c r="AA9" s="38">
        <v>0</v>
      </c>
      <c r="AC9" s="33">
        <f aca="true" t="shared" si="0" ref="AC9:AC16">SUM(B9:AB9)</f>
        <v>3670303.715</v>
      </c>
      <c r="AD9" s="33"/>
    </row>
    <row r="10" spans="1:30" ht="12.75">
      <c r="A10" s="51" t="s">
        <v>244</v>
      </c>
      <c r="B10" s="38">
        <v>0</v>
      </c>
      <c r="C10" s="38">
        <v>20113</v>
      </c>
      <c r="D10" s="38">
        <v>26660.156</v>
      </c>
      <c r="E10" s="38">
        <v>0</v>
      </c>
      <c r="F10" s="38"/>
      <c r="G10" s="38">
        <v>15234.855</v>
      </c>
      <c r="H10" s="38">
        <f>682.101+8902.104</f>
        <v>9584.205</v>
      </c>
      <c r="I10" s="38">
        <v>0</v>
      </c>
      <c r="J10" s="38">
        <v>0</v>
      </c>
      <c r="K10" s="38">
        <v>0</v>
      </c>
      <c r="L10" s="38">
        <v>0</v>
      </c>
      <c r="M10" s="38">
        <v>2419.005</v>
      </c>
      <c r="N10" s="38">
        <v>0</v>
      </c>
      <c r="O10" s="38">
        <v>0</v>
      </c>
      <c r="P10" s="38">
        <v>1492.706</v>
      </c>
      <c r="Q10" s="38">
        <v>0</v>
      </c>
      <c r="R10" s="38">
        <v>0</v>
      </c>
      <c r="S10" s="38">
        <v>0</v>
      </c>
      <c r="T10" s="38">
        <f>1121650.248-1426.274</f>
        <v>1120223.974</v>
      </c>
      <c r="U10" s="38">
        <v>0</v>
      </c>
      <c r="V10" s="38">
        <v>0</v>
      </c>
      <c r="W10" s="38">
        <v>0</v>
      </c>
      <c r="X10" s="38">
        <v>0</v>
      </c>
      <c r="Y10" s="38">
        <f>804519.83-27388.45</f>
        <v>777131.38</v>
      </c>
      <c r="Z10" s="38">
        <v>0</v>
      </c>
      <c r="AA10" s="38">
        <v>0</v>
      </c>
      <c r="AC10" s="33">
        <f t="shared" si="0"/>
        <v>1972859.281</v>
      </c>
      <c r="AD10" s="33"/>
    </row>
    <row r="11" spans="1:30" ht="12.75">
      <c r="A11" s="52" t="s">
        <v>245</v>
      </c>
      <c r="B11" s="38">
        <v>0</v>
      </c>
      <c r="C11" s="38">
        <v>0</v>
      </c>
      <c r="D11" s="38">
        <v>0</v>
      </c>
      <c r="E11" s="38">
        <v>0</v>
      </c>
      <c r="F11" s="38"/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13.453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C11" s="33">
        <f t="shared" si="0"/>
        <v>13.453</v>
      </c>
      <c r="AD11" s="33"/>
    </row>
    <row r="12" spans="1:30" ht="12.75">
      <c r="A12" s="52" t="s">
        <v>246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C12" s="33">
        <f t="shared" si="0"/>
        <v>0</v>
      </c>
      <c r="AD12" s="33"/>
    </row>
    <row r="13" spans="1:30" ht="12.75">
      <c r="A13" s="46" t="s">
        <v>295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5.959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C13" s="33">
        <f t="shared" si="0"/>
        <v>5.959</v>
      </c>
      <c r="AD13" s="33"/>
    </row>
    <row r="14" spans="1:30" ht="12.75">
      <c r="A14" s="52" t="s">
        <v>242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C14" s="33">
        <f t="shared" si="0"/>
        <v>0</v>
      </c>
      <c r="AD14" s="33"/>
    </row>
    <row r="15" spans="1:30" ht="12.75">
      <c r="A15" s="52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C15" s="33"/>
      <c r="AD15" s="33"/>
    </row>
    <row r="16" spans="1:30" ht="12.75">
      <c r="A16" s="50" t="s">
        <v>270</v>
      </c>
      <c r="B16" s="33">
        <f aca="true" t="shared" si="1" ref="B16:M16">SUM(B9:B14)</f>
        <v>0</v>
      </c>
      <c r="C16" s="33">
        <f t="shared" si="1"/>
        <v>446642</v>
      </c>
      <c r="D16" s="33">
        <f t="shared" si="1"/>
        <v>36847.076</v>
      </c>
      <c r="E16" s="33">
        <f t="shared" si="1"/>
        <v>0</v>
      </c>
      <c r="F16" s="33">
        <f t="shared" si="1"/>
        <v>3491.676</v>
      </c>
      <c r="G16" s="33">
        <f t="shared" si="1"/>
        <v>28516.696</v>
      </c>
      <c r="H16" s="33">
        <f t="shared" si="1"/>
        <v>17589.811</v>
      </c>
      <c r="I16" s="33">
        <f>SUM(I9:I14)</f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3829.7290000000003</v>
      </c>
      <c r="N16" s="111">
        <v>8261355</v>
      </c>
      <c r="O16" s="111">
        <v>7690145</v>
      </c>
      <c r="P16" s="33">
        <f>SUM(P9:P14)</f>
        <v>2307.3309999999997</v>
      </c>
      <c r="Q16" s="33">
        <f>SUM(Q9:Q14)</f>
        <v>2914.042</v>
      </c>
      <c r="R16" s="33">
        <f>SUM(R9:R14)</f>
        <v>0</v>
      </c>
      <c r="S16" s="111">
        <v>4644565.345</v>
      </c>
      <c r="T16" s="33">
        <f aca="true" t="shared" si="2" ref="T16:AA16">SUM(T9:T14)</f>
        <v>3922675.05</v>
      </c>
      <c r="U16" s="33">
        <f t="shared" si="2"/>
        <v>0</v>
      </c>
      <c r="V16" s="33">
        <f t="shared" si="2"/>
        <v>0</v>
      </c>
      <c r="W16" s="33">
        <f t="shared" si="2"/>
        <v>0</v>
      </c>
      <c r="X16" s="33">
        <f>SUM(X9:X14)</f>
        <v>17176.202</v>
      </c>
      <c r="Y16" s="33">
        <f>SUM(Y9:Y14)</f>
        <v>1161192.795</v>
      </c>
      <c r="Z16" s="33">
        <f t="shared" si="2"/>
        <v>0</v>
      </c>
      <c r="AA16" s="33">
        <f t="shared" si="2"/>
        <v>0</v>
      </c>
      <c r="AC16" s="33">
        <f t="shared" si="0"/>
        <v>26239247.753</v>
      </c>
      <c r="AD16" s="33"/>
    </row>
    <row r="17" spans="1:30" ht="3.75" customHeight="1">
      <c r="A17" s="75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C17" s="33"/>
      <c r="AD17" s="33"/>
    </row>
    <row r="18" spans="1:30" ht="12.75">
      <c r="A18" s="49" t="s">
        <v>247</v>
      </c>
      <c r="AC18" s="33"/>
      <c r="AD18" s="33"/>
    </row>
    <row r="19" spans="1:30" ht="12.75">
      <c r="A19" s="51" t="s">
        <v>296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17.531</v>
      </c>
      <c r="Z19" s="38">
        <v>0</v>
      </c>
      <c r="AA19" s="38">
        <v>0</v>
      </c>
      <c r="AC19" s="33">
        <f>SUM(B19:AB19)</f>
        <v>17.531</v>
      </c>
      <c r="AD19" s="33"/>
    </row>
    <row r="20" spans="1:30" ht="12.75">
      <c r="A20" s="51" t="s">
        <v>248</v>
      </c>
      <c r="B20" s="38">
        <v>0</v>
      </c>
      <c r="C20" s="38">
        <v>0</v>
      </c>
      <c r="D20" s="38">
        <v>0</v>
      </c>
      <c r="E20" s="38">
        <v>211.648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94.14</v>
      </c>
      <c r="N20" s="38">
        <v>0</v>
      </c>
      <c r="O20" s="38">
        <v>0</v>
      </c>
      <c r="P20" s="38">
        <v>16.106</v>
      </c>
      <c r="Q20" s="38">
        <v>32.145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C20" s="33">
        <f>SUM(B20:AB20)</f>
        <v>354.039</v>
      </c>
      <c r="AD20" s="33"/>
    </row>
    <row r="21" spans="1:30" ht="12.75">
      <c r="A21" s="51" t="s">
        <v>249</v>
      </c>
      <c r="B21" s="38">
        <v>0</v>
      </c>
      <c r="C21" s="38">
        <v>506</v>
      </c>
      <c r="D21" s="38">
        <v>2294.207</v>
      </c>
      <c r="E21" s="38">
        <v>50403.648</v>
      </c>
      <c r="F21" s="38">
        <v>0</v>
      </c>
      <c r="G21" s="38">
        <v>52300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1.991</v>
      </c>
      <c r="Q21" s="38">
        <v>0</v>
      </c>
      <c r="R21" s="38">
        <v>0</v>
      </c>
      <c r="S21" s="38">
        <v>0</v>
      </c>
      <c r="T21" s="38">
        <v>555.958</v>
      </c>
      <c r="U21" s="38">
        <v>0</v>
      </c>
      <c r="V21" s="38">
        <v>0</v>
      </c>
      <c r="W21" s="38">
        <v>0</v>
      </c>
      <c r="X21" s="38">
        <v>0</v>
      </c>
      <c r="Y21" s="38">
        <v>1812.085</v>
      </c>
      <c r="Z21" s="38">
        <v>0</v>
      </c>
      <c r="AA21" s="38">
        <v>0</v>
      </c>
      <c r="AC21" s="33">
        <f>SUM(B21:AB21)</f>
        <v>107873.88900000001</v>
      </c>
      <c r="AD21" s="33"/>
    </row>
    <row r="22" spans="1:30" ht="12.75">
      <c r="A22" s="50" t="s">
        <v>231</v>
      </c>
      <c r="B22" s="33">
        <f aca="true" t="shared" si="3" ref="B22:M22">SUM(B19:B21)</f>
        <v>0</v>
      </c>
      <c r="C22" s="33">
        <f t="shared" si="3"/>
        <v>506</v>
      </c>
      <c r="D22" s="33">
        <f t="shared" si="3"/>
        <v>2294.207</v>
      </c>
      <c r="E22" s="33">
        <f t="shared" si="3"/>
        <v>50615.296</v>
      </c>
      <c r="F22" s="33">
        <f t="shared" si="3"/>
        <v>0</v>
      </c>
      <c r="G22" s="33">
        <f t="shared" si="3"/>
        <v>52300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94.14</v>
      </c>
      <c r="N22" s="33">
        <v>279</v>
      </c>
      <c r="O22" s="33">
        <v>21122</v>
      </c>
      <c r="P22" s="33">
        <f>SUM(P19:P21)</f>
        <v>18.097</v>
      </c>
      <c r="Q22" s="33">
        <f>SUM(Q20:Q21)</f>
        <v>32.145</v>
      </c>
      <c r="R22" s="33">
        <f>SUM(R19:R21)</f>
        <v>0</v>
      </c>
      <c r="S22" s="33">
        <v>7713.326</v>
      </c>
      <c r="T22" s="33">
        <f aca="true" t="shared" si="4" ref="T22:AA22">SUM(T19:T21)</f>
        <v>555.958</v>
      </c>
      <c r="U22" s="33">
        <f t="shared" si="4"/>
        <v>0</v>
      </c>
      <c r="V22" s="33">
        <f t="shared" si="4"/>
        <v>0</v>
      </c>
      <c r="W22" s="33">
        <f t="shared" si="4"/>
        <v>0</v>
      </c>
      <c r="X22" s="33">
        <f t="shared" si="4"/>
        <v>0</v>
      </c>
      <c r="Y22" s="33">
        <f t="shared" si="4"/>
        <v>1829.616</v>
      </c>
      <c r="Z22" s="33">
        <f t="shared" si="4"/>
        <v>0</v>
      </c>
      <c r="AA22" s="33">
        <f t="shared" si="4"/>
        <v>0</v>
      </c>
      <c r="AC22" s="33">
        <f>SUM(B22:AB22)</f>
        <v>137359.785</v>
      </c>
      <c r="AD22" s="33"/>
    </row>
    <row r="23" spans="1:30" ht="5.25" customHeight="1">
      <c r="A23" s="52"/>
      <c r="AC23" s="33"/>
      <c r="AD23" s="33"/>
    </row>
    <row r="24" spans="1:30" ht="12.75">
      <c r="A24" s="49" t="s">
        <v>250</v>
      </c>
      <c r="P24" s="38"/>
      <c r="AC24" s="33"/>
      <c r="AD24" s="33"/>
    </row>
    <row r="25" spans="1:30" ht="12.75">
      <c r="A25" s="52" t="s">
        <v>251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355.129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C25" s="33">
        <f>SUM(B25:AB25)</f>
        <v>355.129</v>
      </c>
      <c r="AD25" s="33"/>
    </row>
    <row r="26" spans="1:30" ht="12.75">
      <c r="A26" s="52" t="s">
        <v>297</v>
      </c>
      <c r="B26" s="38">
        <v>0</v>
      </c>
      <c r="C26" s="38">
        <v>1152</v>
      </c>
      <c r="D26" s="38">
        <v>1745.552</v>
      </c>
      <c r="E26" s="38">
        <v>-136.555</v>
      </c>
      <c r="F26" s="38">
        <v>37.208</v>
      </c>
      <c r="G26" s="38">
        <v>0</v>
      </c>
      <c r="H26" s="38">
        <v>1964.7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95.849</v>
      </c>
      <c r="Q26" s="38">
        <v>0.154</v>
      </c>
      <c r="R26" s="38">
        <v>0</v>
      </c>
      <c r="S26" s="38">
        <v>0</v>
      </c>
      <c r="T26" s="38">
        <f>12999.649-1818.296</f>
        <v>11181.353</v>
      </c>
      <c r="U26" s="38">
        <v>0</v>
      </c>
      <c r="V26" s="38">
        <v>0</v>
      </c>
      <c r="W26" s="38">
        <v>0</v>
      </c>
      <c r="X26" s="38">
        <v>2390.814</v>
      </c>
      <c r="Y26" s="38">
        <v>77862.104</v>
      </c>
      <c r="Z26" s="38">
        <v>0</v>
      </c>
      <c r="AA26" s="38">
        <v>0</v>
      </c>
      <c r="AC26" s="33">
        <f>SUM(B26:AB26)</f>
        <v>96293.179</v>
      </c>
      <c r="AD26" s="33"/>
    </row>
    <row r="27" spans="1:30" ht="12.75">
      <c r="A27" s="52" t="s">
        <v>252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C27" s="33">
        <f>SUM(B27:AB27)</f>
        <v>0</v>
      </c>
      <c r="AD27" s="33"/>
    </row>
    <row r="28" spans="1:30" ht="12.75">
      <c r="A28" s="50" t="s">
        <v>232</v>
      </c>
      <c r="B28" s="33">
        <f>SUM(B25:B27)</f>
        <v>0</v>
      </c>
      <c r="C28" s="33">
        <f>SUM(C25:C27)</f>
        <v>1152</v>
      </c>
      <c r="D28" s="33">
        <f>SUM(D25:D27)</f>
        <v>1745.552</v>
      </c>
      <c r="E28" s="33">
        <f>SUM(E25:E27)</f>
        <v>-136.555</v>
      </c>
      <c r="F28" s="33">
        <f aca="true" t="shared" si="5" ref="F28:P28">SUM(F25:F27)</f>
        <v>37.208</v>
      </c>
      <c r="G28" s="33">
        <f t="shared" si="5"/>
        <v>0</v>
      </c>
      <c r="H28" s="33">
        <f t="shared" si="5"/>
        <v>2319.829</v>
      </c>
      <c r="I28" s="33">
        <f>SUM(I25:I27)</f>
        <v>0</v>
      </c>
      <c r="J28" s="33">
        <f t="shared" si="5"/>
        <v>0</v>
      </c>
      <c r="K28" s="33">
        <f>SUM(K25:K27)</f>
        <v>0</v>
      </c>
      <c r="L28" s="33">
        <f>SUM(L25:L27)</f>
        <v>0</v>
      </c>
      <c r="M28" s="33">
        <f t="shared" si="5"/>
        <v>0</v>
      </c>
      <c r="N28" s="33">
        <v>117119</v>
      </c>
      <c r="O28" s="33">
        <v>51315</v>
      </c>
      <c r="P28" s="33">
        <f t="shared" si="5"/>
        <v>95.849</v>
      </c>
      <c r="Q28" s="33">
        <f>SUM(Q25:Q27)</f>
        <v>0.154</v>
      </c>
      <c r="R28" s="33">
        <f>SUM(R25:R27)</f>
        <v>0</v>
      </c>
      <c r="S28" s="33">
        <v>9899.865</v>
      </c>
      <c r="T28" s="33">
        <f aca="true" t="shared" si="6" ref="T28:AA28">SUM(T25:T27)</f>
        <v>11181.353</v>
      </c>
      <c r="U28" s="33">
        <f t="shared" si="6"/>
        <v>0</v>
      </c>
      <c r="V28" s="33">
        <f t="shared" si="6"/>
        <v>0</v>
      </c>
      <c r="W28" s="33">
        <f t="shared" si="6"/>
        <v>0</v>
      </c>
      <c r="X28" s="33">
        <f>SUM(X25:X27)</f>
        <v>2390.814</v>
      </c>
      <c r="Y28" s="33">
        <f>SUM(Y25:Y27)</f>
        <v>77862.104</v>
      </c>
      <c r="Z28" s="33">
        <f t="shared" si="6"/>
        <v>0</v>
      </c>
      <c r="AA28" s="33">
        <f t="shared" si="6"/>
        <v>0</v>
      </c>
      <c r="AC28" s="33">
        <f>SUM(B28:AB28)</f>
        <v>274982.173</v>
      </c>
      <c r="AD28" s="33"/>
    </row>
    <row r="29" spans="1:30" ht="6" customHeight="1">
      <c r="A29" s="49"/>
      <c r="AC29" s="33"/>
      <c r="AD29" s="33"/>
    </row>
    <row r="30" spans="1:30" ht="12.75">
      <c r="A30" s="52" t="s">
        <v>241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C30" s="33">
        <f>SUM(B30:AB30)</f>
        <v>0</v>
      </c>
      <c r="AD30" s="33"/>
    </row>
    <row r="31" spans="1:30" ht="5.25" customHeight="1">
      <c r="A31" s="52"/>
      <c r="AC31" s="33"/>
      <c r="AD31" s="33"/>
    </row>
    <row r="32" spans="1:30" ht="15.75" customHeight="1">
      <c r="A32" s="55" t="s">
        <v>236</v>
      </c>
      <c r="B32" s="33">
        <f>B16+B22+B28+B30</f>
        <v>0</v>
      </c>
      <c r="C32" s="33">
        <f aca="true" t="shared" si="7" ref="C32:AA32">C16+C22+C28+C30</f>
        <v>448300</v>
      </c>
      <c r="D32" s="33">
        <f t="shared" si="7"/>
        <v>40886.83500000001</v>
      </c>
      <c r="E32" s="33">
        <f t="shared" si="7"/>
        <v>50478.741</v>
      </c>
      <c r="F32" s="33">
        <f t="shared" si="7"/>
        <v>3528.884</v>
      </c>
      <c r="G32" s="33">
        <f t="shared" si="7"/>
        <v>80816.696</v>
      </c>
      <c r="H32" s="33">
        <f t="shared" si="7"/>
        <v>19909.640000000003</v>
      </c>
      <c r="I32" s="33">
        <f>I16+I22+I28+I30</f>
        <v>0</v>
      </c>
      <c r="J32" s="33">
        <f t="shared" si="7"/>
        <v>0</v>
      </c>
      <c r="K32" s="33">
        <f t="shared" si="7"/>
        <v>0</v>
      </c>
      <c r="L32" s="33">
        <f>L16+L22+L28+L30</f>
        <v>0</v>
      </c>
      <c r="M32" s="33">
        <f t="shared" si="7"/>
        <v>3923.869</v>
      </c>
      <c r="N32" s="33">
        <f t="shared" si="7"/>
        <v>8378753</v>
      </c>
      <c r="O32" s="33">
        <f>O16+O22+O28+O30</f>
        <v>7762582</v>
      </c>
      <c r="P32" s="33">
        <f>P16+P22+P28+P30+10</f>
        <v>2431.277</v>
      </c>
      <c r="Q32" s="33">
        <f t="shared" si="7"/>
        <v>2946.341</v>
      </c>
      <c r="R32" s="33">
        <f t="shared" si="7"/>
        <v>0</v>
      </c>
      <c r="S32" s="33">
        <f t="shared" si="7"/>
        <v>4662178.536</v>
      </c>
      <c r="T32" s="33">
        <f t="shared" si="7"/>
        <v>3934412.361</v>
      </c>
      <c r="U32" s="33">
        <f t="shared" si="7"/>
        <v>0</v>
      </c>
      <c r="V32" s="33">
        <f t="shared" si="7"/>
        <v>0</v>
      </c>
      <c r="W32" s="33">
        <f t="shared" si="7"/>
        <v>0</v>
      </c>
      <c r="X32" s="33">
        <f>X16+X22+X28+X30</f>
        <v>19567.016</v>
      </c>
      <c r="Y32" s="33">
        <f>Y16+Y22+Y28+Y30</f>
        <v>1240884.515</v>
      </c>
      <c r="Z32" s="33">
        <f t="shared" si="7"/>
        <v>0</v>
      </c>
      <c r="AA32" s="33">
        <f t="shared" si="7"/>
        <v>0</v>
      </c>
      <c r="AC32" s="33">
        <f>SUM(B32:AB32)</f>
        <v>26651599.711</v>
      </c>
      <c r="AD32" s="33"/>
    </row>
    <row r="33" spans="1:30" ht="5.25" customHeight="1">
      <c r="A33" s="51"/>
      <c r="AC33" s="33"/>
      <c r="AD33" s="33"/>
    </row>
    <row r="34" spans="1:30" ht="12.75">
      <c r="A34" s="53" t="s">
        <v>230</v>
      </c>
      <c r="AC34" s="33"/>
      <c r="AD34" s="33"/>
    </row>
    <row r="35" spans="1:30" ht="5.25" customHeight="1">
      <c r="A35" s="51"/>
      <c r="AC35" s="33"/>
      <c r="AD35" s="33"/>
    </row>
    <row r="36" spans="1:30" ht="12.75">
      <c r="A36" s="46" t="s">
        <v>253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C36" s="33">
        <f>SUM(B36:AB36)</f>
        <v>0</v>
      </c>
      <c r="AD36" s="33"/>
    </row>
    <row r="37" spans="1:30" ht="6" customHeight="1">
      <c r="A37" s="51"/>
      <c r="AC37" s="33"/>
      <c r="AD37" s="33"/>
    </row>
    <row r="38" spans="1:30" ht="12.75">
      <c r="A38" s="51" t="s">
        <v>254</v>
      </c>
      <c r="AC38" s="33"/>
      <c r="AD38" s="33"/>
    </row>
    <row r="39" spans="1:30" ht="12.75">
      <c r="A39" s="52" t="s">
        <v>298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303.585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115">
        <f>10177.579+19.202</f>
        <v>10196.780999999999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C39" s="33">
        <f>SUM(B39:AB39)</f>
        <v>10500.365999999998</v>
      </c>
      <c r="AD39" s="33"/>
    </row>
    <row r="40" spans="1:30" ht="12.75">
      <c r="A40" s="52" t="s">
        <v>255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C40" s="33">
        <f>SUM(B40:AB40)</f>
        <v>0</v>
      </c>
      <c r="AD40" s="33"/>
    </row>
    <row r="41" spans="1:30" ht="12.75">
      <c r="A41" s="46" t="s">
        <v>256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C41" s="33">
        <f>SUM(B41:AB41)</f>
        <v>0</v>
      </c>
      <c r="AD41" s="33"/>
    </row>
    <row r="42" spans="1:30" ht="12.75">
      <c r="A42" s="52" t="s">
        <v>257</v>
      </c>
      <c r="B42" s="38">
        <v>0</v>
      </c>
      <c r="C42" s="38">
        <v>5938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9.748</v>
      </c>
      <c r="Q42" s="38">
        <v>0</v>
      </c>
      <c r="R42" s="38">
        <v>0</v>
      </c>
      <c r="S42" s="38">
        <v>0</v>
      </c>
      <c r="T42" s="38">
        <f>28398.916-441.594</f>
        <v>27957.322</v>
      </c>
      <c r="U42" s="38">
        <v>0</v>
      </c>
      <c r="V42" s="38">
        <v>0</v>
      </c>
      <c r="W42" s="38">
        <v>0</v>
      </c>
      <c r="X42" s="38">
        <v>0</v>
      </c>
      <c r="Y42" s="38">
        <v>9374.555</v>
      </c>
      <c r="Z42" s="38">
        <v>0</v>
      </c>
      <c r="AA42" s="38">
        <v>0</v>
      </c>
      <c r="AC42" s="33">
        <f>SUM(B42:AB42)</f>
        <v>43279.625</v>
      </c>
      <c r="AD42" s="33"/>
    </row>
    <row r="43" spans="1:30" ht="12.75">
      <c r="A43" s="50" t="s">
        <v>233</v>
      </c>
      <c r="B43" s="33">
        <f aca="true" t="shared" si="8" ref="B43:M43">SUM(B39:B42)</f>
        <v>0</v>
      </c>
      <c r="C43" s="33">
        <f t="shared" si="8"/>
        <v>5938</v>
      </c>
      <c r="D43" s="33">
        <f t="shared" si="8"/>
        <v>0</v>
      </c>
      <c r="E43" s="33">
        <f t="shared" si="8"/>
        <v>0</v>
      </c>
      <c r="F43" s="33">
        <f t="shared" si="8"/>
        <v>0</v>
      </c>
      <c r="G43" s="33">
        <f t="shared" si="8"/>
        <v>0</v>
      </c>
      <c r="H43" s="33">
        <f t="shared" si="8"/>
        <v>303.585</v>
      </c>
      <c r="I43" s="33">
        <f t="shared" si="8"/>
        <v>0</v>
      </c>
      <c r="J43" s="33">
        <f t="shared" si="8"/>
        <v>0</v>
      </c>
      <c r="K43" s="33">
        <f t="shared" si="8"/>
        <v>0</v>
      </c>
      <c r="L43" s="33">
        <f t="shared" si="8"/>
        <v>0</v>
      </c>
      <c r="M43" s="33">
        <f t="shared" si="8"/>
        <v>0</v>
      </c>
      <c r="N43" s="33">
        <v>4487</v>
      </c>
      <c r="O43" s="33">
        <v>577</v>
      </c>
      <c r="P43" s="33">
        <f>SUM(P39:P42)</f>
        <v>9.748</v>
      </c>
      <c r="Q43" s="33">
        <f>SUM(Q39:Q42)</f>
        <v>0</v>
      </c>
      <c r="R43" s="33">
        <f>SUM(R39:R42)</f>
        <v>0</v>
      </c>
      <c r="S43" s="33">
        <v>180.959</v>
      </c>
      <c r="T43" s="33">
        <f aca="true" t="shared" si="9" ref="T43:AA43">SUM(T39:T42)</f>
        <v>38154.103</v>
      </c>
      <c r="U43" s="33">
        <f t="shared" si="9"/>
        <v>0</v>
      </c>
      <c r="V43" s="33">
        <f t="shared" si="9"/>
        <v>0</v>
      </c>
      <c r="W43" s="33">
        <f t="shared" si="9"/>
        <v>0</v>
      </c>
      <c r="X43" s="33">
        <f t="shared" si="9"/>
        <v>0</v>
      </c>
      <c r="Y43" s="33">
        <f t="shared" si="9"/>
        <v>9374.555</v>
      </c>
      <c r="Z43" s="33">
        <f t="shared" si="9"/>
        <v>0</v>
      </c>
      <c r="AA43" s="33">
        <f t="shared" si="9"/>
        <v>0</v>
      </c>
      <c r="AC43" s="33">
        <f>SUM(B43:AB43)</f>
        <v>59024.950000000004</v>
      </c>
      <c r="AD43" s="33"/>
    </row>
    <row r="44" spans="1:30" ht="6" customHeight="1">
      <c r="A44" s="49"/>
      <c r="AC44" s="33"/>
      <c r="AD44" s="33"/>
    </row>
    <row r="45" spans="1:30" ht="12.75">
      <c r="A45" s="54" t="s">
        <v>269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81">
        <v>0</v>
      </c>
      <c r="AC45" s="33">
        <f>SUM(B45:AB45)</f>
        <v>0</v>
      </c>
      <c r="AD45" s="33"/>
    </row>
    <row r="46" spans="1:30" ht="6" customHeight="1">
      <c r="A46" s="54"/>
      <c r="AC46" s="33"/>
      <c r="AD46" s="33"/>
    </row>
    <row r="47" spans="1:30" ht="15.75" customHeight="1">
      <c r="A47" s="55" t="s">
        <v>235</v>
      </c>
      <c r="B47" s="33">
        <f aca="true" t="shared" si="10" ref="B47:AA47">B36+B43+B45</f>
        <v>0</v>
      </c>
      <c r="C47" s="33">
        <f t="shared" si="10"/>
        <v>5938</v>
      </c>
      <c r="D47" s="33">
        <f t="shared" si="10"/>
        <v>0</v>
      </c>
      <c r="E47" s="33">
        <f t="shared" si="10"/>
        <v>0</v>
      </c>
      <c r="F47" s="33">
        <f t="shared" si="10"/>
        <v>0</v>
      </c>
      <c r="G47" s="33">
        <f t="shared" si="10"/>
        <v>0</v>
      </c>
      <c r="H47" s="33">
        <f t="shared" si="10"/>
        <v>303.585</v>
      </c>
      <c r="I47" s="33">
        <f t="shared" si="10"/>
        <v>0</v>
      </c>
      <c r="J47" s="33">
        <f t="shared" si="10"/>
        <v>0</v>
      </c>
      <c r="K47" s="33">
        <f t="shared" si="10"/>
        <v>0</v>
      </c>
      <c r="L47" s="33">
        <f t="shared" si="10"/>
        <v>0</v>
      </c>
      <c r="M47" s="33">
        <f t="shared" si="10"/>
        <v>0</v>
      </c>
      <c r="N47" s="33">
        <f t="shared" si="10"/>
        <v>4487</v>
      </c>
      <c r="O47" s="33">
        <f t="shared" si="10"/>
        <v>577</v>
      </c>
      <c r="P47" s="33">
        <f t="shared" si="10"/>
        <v>9.748</v>
      </c>
      <c r="Q47" s="33">
        <f t="shared" si="10"/>
        <v>0</v>
      </c>
      <c r="R47" s="33">
        <f t="shared" si="10"/>
        <v>0</v>
      </c>
      <c r="S47" s="33">
        <f t="shared" si="10"/>
        <v>180.959</v>
      </c>
      <c r="T47" s="33">
        <f t="shared" si="10"/>
        <v>38154.103</v>
      </c>
      <c r="U47" s="33">
        <f t="shared" si="10"/>
        <v>0</v>
      </c>
      <c r="V47" s="33">
        <f t="shared" si="10"/>
        <v>0</v>
      </c>
      <c r="W47" s="33">
        <f t="shared" si="10"/>
        <v>0</v>
      </c>
      <c r="X47" s="33">
        <f t="shared" si="10"/>
        <v>0</v>
      </c>
      <c r="Y47" s="33">
        <f t="shared" si="10"/>
        <v>9374.555</v>
      </c>
      <c r="Z47" s="33">
        <f t="shared" si="10"/>
        <v>0</v>
      </c>
      <c r="AA47" s="33">
        <f t="shared" si="10"/>
        <v>0</v>
      </c>
      <c r="AC47" s="33">
        <f>SUM(B47:AB47)</f>
        <v>59024.950000000004</v>
      </c>
      <c r="AD47" s="33"/>
    </row>
    <row r="48" spans="1:30" ht="13.5" customHeight="1">
      <c r="A48" s="49" t="s">
        <v>135</v>
      </c>
      <c r="AC48" s="33"/>
      <c r="AD48" s="33"/>
    </row>
    <row r="49" spans="1:31" ht="12.75">
      <c r="A49" s="49" t="s">
        <v>136</v>
      </c>
      <c r="B49" s="33">
        <v>350809.831</v>
      </c>
      <c r="C49" s="33">
        <f>C32-C47</f>
        <v>442362</v>
      </c>
      <c r="D49" s="33">
        <f aca="true" t="shared" si="11" ref="D49:S49">D32-D47</f>
        <v>40886.83500000001</v>
      </c>
      <c r="E49" s="33">
        <f t="shared" si="11"/>
        <v>50478.741</v>
      </c>
      <c r="F49" s="33">
        <f t="shared" si="11"/>
        <v>3528.884</v>
      </c>
      <c r="G49" s="33">
        <f t="shared" si="11"/>
        <v>80816.696</v>
      </c>
      <c r="H49" s="33">
        <f t="shared" si="11"/>
        <v>19606.055000000004</v>
      </c>
      <c r="I49" s="33">
        <v>64234.507</v>
      </c>
      <c r="J49" s="33">
        <v>527771.87</v>
      </c>
      <c r="K49" s="33">
        <v>4807.334</v>
      </c>
      <c r="L49" s="33">
        <v>84863.449</v>
      </c>
      <c r="M49" s="33">
        <f t="shared" si="11"/>
        <v>3923.869</v>
      </c>
      <c r="N49" s="33">
        <f t="shared" si="11"/>
        <v>8374266</v>
      </c>
      <c r="O49" s="33">
        <f>O32-O47</f>
        <v>7762005</v>
      </c>
      <c r="P49" s="33">
        <f t="shared" si="11"/>
        <v>2421.529</v>
      </c>
      <c r="Q49" s="33">
        <f>Q32-Q47</f>
        <v>2946.341</v>
      </c>
      <c r="R49" s="33">
        <v>6132331</v>
      </c>
      <c r="S49" s="33">
        <f t="shared" si="11"/>
        <v>4661997.5770000005</v>
      </c>
      <c r="T49" s="33">
        <f>T32-T47</f>
        <v>3896258.258</v>
      </c>
      <c r="U49" s="33">
        <v>916.642</v>
      </c>
      <c r="V49" s="33">
        <v>57932.545</v>
      </c>
      <c r="W49" s="33">
        <v>44545.359</v>
      </c>
      <c r="X49" s="33">
        <f>X32-X47</f>
        <v>19567.016</v>
      </c>
      <c r="Y49" s="33">
        <f>Y32-Y47</f>
        <v>1231509.96</v>
      </c>
      <c r="Z49" s="33">
        <v>1043650.477</v>
      </c>
      <c r="AA49" s="33">
        <v>67110.369</v>
      </c>
      <c r="AC49" s="33">
        <f>SUM(B49:AB49)</f>
        <v>34971548.144</v>
      </c>
      <c r="AD49" s="33"/>
      <c r="AE49" s="103">
        <f>+'Séreignardeildir - Yfirlit'!AC68</f>
        <v>34971548.013</v>
      </c>
    </row>
    <row r="50" spans="1:33" s="96" customFormat="1" ht="4.5" customHeight="1">
      <c r="A50" s="99"/>
      <c r="B50" s="100"/>
      <c r="C50" s="100"/>
      <c r="D50" s="144"/>
      <c r="E50" s="100"/>
      <c r="F50" s="144"/>
      <c r="G50" s="144"/>
      <c r="H50" s="100"/>
      <c r="I50" s="100"/>
      <c r="J50" s="100"/>
      <c r="K50" s="144"/>
      <c r="L50" s="144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C50" s="100"/>
      <c r="AD50" s="100"/>
      <c r="AE50" s="100"/>
      <c r="AF50" s="100"/>
      <c r="AG50" s="100"/>
    </row>
    <row r="51" spans="1:33" s="96" customFormat="1" ht="12.75" customHeight="1">
      <c r="A51" s="99"/>
      <c r="B51" s="100"/>
      <c r="C51" s="144"/>
      <c r="D51" s="144"/>
      <c r="E51" s="100"/>
      <c r="F51" s="144"/>
      <c r="G51" s="144"/>
      <c r="H51" s="100"/>
      <c r="I51" s="100"/>
      <c r="J51" s="100"/>
      <c r="K51" s="144"/>
      <c r="L51" s="144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C51" s="100"/>
      <c r="AD51" s="100"/>
      <c r="AE51" s="100">
        <f>+AC49-AE49</f>
        <v>0.13100000470876694</v>
      </c>
      <c r="AF51" s="100"/>
      <c r="AG51" s="100"/>
    </row>
    <row r="52" spans="1:33" s="140" customFormat="1" ht="11.25" customHeight="1">
      <c r="A52" s="128" t="s">
        <v>352</v>
      </c>
      <c r="B52" s="135">
        <v>1427</v>
      </c>
      <c r="C52" s="145">
        <v>3876</v>
      </c>
      <c r="D52" s="145">
        <v>260</v>
      </c>
      <c r="E52" s="139"/>
      <c r="F52" s="145">
        <v>39</v>
      </c>
      <c r="G52" s="145"/>
      <c r="H52" s="137">
        <v>150</v>
      </c>
      <c r="I52" s="138">
        <v>688</v>
      </c>
      <c r="J52" s="140">
        <v>1701</v>
      </c>
      <c r="K52" s="145">
        <v>106</v>
      </c>
      <c r="L52" s="145">
        <v>344</v>
      </c>
      <c r="M52" s="145">
        <v>35</v>
      </c>
      <c r="N52" s="136">
        <v>7734</v>
      </c>
      <c r="O52" s="138">
        <v>7039</v>
      </c>
      <c r="P52" s="138">
        <v>38</v>
      </c>
      <c r="Q52" s="137">
        <v>2</v>
      </c>
      <c r="R52" s="138">
        <v>6428</v>
      </c>
      <c r="S52" s="138">
        <v>1058</v>
      </c>
      <c r="T52" s="138"/>
      <c r="U52" s="136"/>
      <c r="V52" s="138">
        <v>165</v>
      </c>
      <c r="W52" s="137"/>
      <c r="X52" s="138">
        <v>125</v>
      </c>
      <c r="Y52" s="138">
        <v>1378</v>
      </c>
      <c r="Z52" s="138">
        <v>211</v>
      </c>
      <c r="AA52" s="138"/>
      <c r="AC52" s="138">
        <f>SUM(B52:AA52)</f>
        <v>32804</v>
      </c>
      <c r="AD52" s="138"/>
      <c r="AE52" s="138"/>
      <c r="AF52" s="138"/>
      <c r="AG52" s="138"/>
    </row>
    <row r="53" spans="1:33" s="132" customFormat="1" ht="11.25" customHeight="1">
      <c r="A53" s="128" t="s">
        <v>353</v>
      </c>
      <c r="B53" s="129">
        <v>1</v>
      </c>
      <c r="C53" s="146">
        <v>1</v>
      </c>
      <c r="D53" s="146">
        <v>3</v>
      </c>
      <c r="E53" s="141"/>
      <c r="F53" s="146">
        <v>0</v>
      </c>
      <c r="G53" s="146"/>
      <c r="H53" s="129">
        <v>0</v>
      </c>
      <c r="I53" s="130">
        <v>0</v>
      </c>
      <c r="J53" s="132">
        <v>0</v>
      </c>
      <c r="K53" s="149">
        <v>0</v>
      </c>
      <c r="L53" s="149">
        <v>0</v>
      </c>
      <c r="M53" s="149">
        <v>0</v>
      </c>
      <c r="N53" s="133">
        <v>124</v>
      </c>
      <c r="O53" s="130">
        <v>140</v>
      </c>
      <c r="P53" s="130">
        <v>0</v>
      </c>
      <c r="Q53" s="131">
        <v>0</v>
      </c>
      <c r="R53" s="130">
        <v>124</v>
      </c>
      <c r="S53" s="130">
        <v>41</v>
      </c>
      <c r="T53" s="130"/>
      <c r="U53" s="133"/>
      <c r="V53" s="130">
        <v>0</v>
      </c>
      <c r="W53" s="131"/>
      <c r="X53" s="130">
        <v>10</v>
      </c>
      <c r="Y53" s="130">
        <v>5</v>
      </c>
      <c r="Z53" s="130">
        <v>0</v>
      </c>
      <c r="AA53" s="130"/>
      <c r="AC53" s="138">
        <f>SUM(B53:AA53)</f>
        <v>449</v>
      </c>
      <c r="AD53" s="130"/>
      <c r="AE53" s="130"/>
      <c r="AF53" s="130"/>
      <c r="AG53" s="130"/>
    </row>
    <row r="54" spans="1:33" s="127" customFormat="1" ht="11.25" customHeight="1">
      <c r="A54" s="123" t="s">
        <v>351</v>
      </c>
      <c r="B54" s="124">
        <v>0.011066039010768414</v>
      </c>
      <c r="C54" s="125">
        <v>-0.1525</v>
      </c>
      <c r="D54" s="151" t="s">
        <v>359</v>
      </c>
      <c r="E54" s="133"/>
      <c r="F54" s="125">
        <v>0.018</v>
      </c>
      <c r="G54" s="147" t="s">
        <v>384</v>
      </c>
      <c r="H54" s="126">
        <v>-0.057</v>
      </c>
      <c r="I54" s="137" t="s">
        <v>355</v>
      </c>
      <c r="J54" s="125">
        <v>0.019</v>
      </c>
      <c r="K54" s="125">
        <v>-0.04932573248724037</v>
      </c>
      <c r="L54" s="147">
        <v>-0.022</v>
      </c>
      <c r="M54" s="137" t="s">
        <v>357</v>
      </c>
      <c r="N54" s="134" t="s">
        <v>387</v>
      </c>
      <c r="O54" s="152" t="s">
        <v>361</v>
      </c>
      <c r="P54" s="125">
        <v>-0.026</v>
      </c>
      <c r="Q54" s="148"/>
      <c r="R54" s="134" t="s">
        <v>387</v>
      </c>
      <c r="S54" s="125">
        <v>-0.0349</v>
      </c>
      <c r="T54" s="125"/>
      <c r="U54" s="134"/>
      <c r="V54" s="134"/>
      <c r="W54" s="126"/>
      <c r="X54" s="125">
        <v>-0.0959</v>
      </c>
      <c r="Y54" s="134">
        <v>-0.0638</v>
      </c>
      <c r="Z54" s="125">
        <v>-0.085</v>
      </c>
      <c r="AA54" s="125"/>
      <c r="AC54" s="125"/>
      <c r="AD54" s="125"/>
      <c r="AE54" s="125"/>
      <c r="AF54" s="125"/>
      <c r="AG54" s="125"/>
    </row>
    <row r="55" spans="1:33" s="96" customFormat="1" ht="11.25" customHeight="1">
      <c r="A55" s="99"/>
      <c r="B55" s="102"/>
      <c r="C55" s="100"/>
      <c r="D55" s="151" t="s">
        <v>360</v>
      </c>
      <c r="E55" s="100"/>
      <c r="F55" s="100"/>
      <c r="G55" s="147" t="s">
        <v>383</v>
      </c>
      <c r="H55" s="101"/>
      <c r="I55" s="131" t="s">
        <v>354</v>
      </c>
      <c r="J55" s="100"/>
      <c r="K55" s="100"/>
      <c r="L55" s="144"/>
      <c r="M55" s="131" t="s">
        <v>356</v>
      </c>
      <c r="N55" s="100"/>
      <c r="O55" s="152" t="s">
        <v>362</v>
      </c>
      <c r="P55" s="100"/>
      <c r="Q55" s="101"/>
      <c r="R55" s="100"/>
      <c r="S55" s="100"/>
      <c r="T55" s="100"/>
      <c r="U55" s="100"/>
      <c r="V55" s="100"/>
      <c r="W55" s="101"/>
      <c r="X55" s="100"/>
      <c r="Y55" s="100"/>
      <c r="Z55" s="100"/>
      <c r="AA55" s="100"/>
      <c r="AC55" s="100"/>
      <c r="AD55" s="100"/>
      <c r="AE55" s="100"/>
      <c r="AF55" s="100"/>
      <c r="AG55" s="100"/>
    </row>
    <row r="56" spans="1:33" s="96" customFormat="1" ht="11.25" customHeight="1">
      <c r="A56" s="99"/>
      <c r="B56" s="102"/>
      <c r="C56" s="100"/>
      <c r="D56" s="142"/>
      <c r="E56" s="142"/>
      <c r="F56" s="100"/>
      <c r="G56" s="142"/>
      <c r="H56" s="101"/>
      <c r="I56" s="150"/>
      <c r="K56" s="100"/>
      <c r="L56" s="100"/>
      <c r="N56" s="100"/>
      <c r="O56" s="152" t="s">
        <v>363</v>
      </c>
      <c r="P56" s="100"/>
      <c r="Q56" s="101"/>
      <c r="R56" s="100"/>
      <c r="S56" s="100"/>
      <c r="T56" s="100"/>
      <c r="U56" s="100"/>
      <c r="V56" s="100"/>
      <c r="W56" s="101"/>
      <c r="X56" s="100"/>
      <c r="Y56" s="100"/>
      <c r="Z56" s="100"/>
      <c r="AA56" s="100"/>
      <c r="AC56" s="100"/>
      <c r="AD56" s="100"/>
      <c r="AE56" s="100"/>
      <c r="AF56" s="100"/>
      <c r="AG56" s="100"/>
    </row>
    <row r="57" spans="1:144" ht="12.75">
      <c r="A57" s="96"/>
      <c r="D57" s="142" t="s">
        <v>358</v>
      </c>
      <c r="E57" s="143"/>
      <c r="F57" s="96"/>
      <c r="G57" s="143"/>
      <c r="H57" s="96"/>
      <c r="I57" s="96"/>
      <c r="K57" s="96"/>
      <c r="L57" s="96"/>
      <c r="M57" s="142" t="s">
        <v>358</v>
      </c>
      <c r="N57" s="96"/>
      <c r="O57" s="142" t="s">
        <v>358</v>
      </c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</row>
    <row r="58" spans="1:144" ht="12">
      <c r="A58" s="96"/>
      <c r="B58" s="96"/>
      <c r="D58" s="96"/>
      <c r="E58" s="96"/>
      <c r="F58" s="96"/>
      <c r="G58" s="96"/>
      <c r="H58" s="96"/>
      <c r="I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</row>
    <row r="59" spans="1:144" ht="12">
      <c r="A59" s="96"/>
      <c r="B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</row>
    <row r="60" spans="1:144" ht="12">
      <c r="A60" s="96"/>
      <c r="B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</row>
    <row r="61" spans="1:144" ht="12">
      <c r="A61" s="96"/>
      <c r="B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</row>
    <row r="62" spans="1:144" ht="1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</row>
    <row r="63" spans="1:144" ht="12.7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</row>
    <row r="64" spans="1:144" ht="1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</row>
  </sheetData>
  <printOptions/>
  <pageMargins left="0.75" right="0.75" top="1" bottom="1" header="0.5" footer="0.5"/>
  <pageSetup horizontalDpi="600" verticalDpi="600" orientation="portrait" paperSize="9" r:id="rId3"/>
  <headerFooter alignWithMargins="0">
    <oddHeader>&amp;C&amp;"Times New Roman,Bold"&amp;14 3.5. EFNAHAGSREIKNINGAR SÉREIGNARDEILDA 31.12.2000</oddHeader>
    <oddFooter>&amp;CPage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11"/>
  <sheetViews>
    <sheetView workbookViewId="0" topLeftCell="A1">
      <pane xSplit="1" ySplit="5" topLeftCell="Z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20" sqref="AH20"/>
    </sheetView>
  </sheetViews>
  <sheetFormatPr defaultColWidth="9.00390625" defaultRowHeight="12.75"/>
  <cols>
    <col min="1" max="1" width="23.875" style="110" customWidth="1"/>
    <col min="2" max="17" width="9.00390625" style="110" customWidth="1"/>
    <col min="18" max="18" width="10.875" style="110" bestFit="1" customWidth="1"/>
    <col min="19" max="62" width="9.00390625" style="110" customWidth="1"/>
    <col min="63" max="63" width="10.75390625" style="110" customWidth="1"/>
    <col min="64" max="16384" width="9.00390625" style="110" customWidth="1"/>
  </cols>
  <sheetData>
    <row r="1" spans="1:68" ht="12.75">
      <c r="A1" s="20" t="s">
        <v>11</v>
      </c>
      <c r="B1" s="41" t="s">
        <v>0</v>
      </c>
      <c r="C1" s="41" t="s">
        <v>0</v>
      </c>
      <c r="D1" s="41" t="s">
        <v>0</v>
      </c>
      <c r="E1" s="41" t="s">
        <v>0</v>
      </c>
      <c r="F1" s="41" t="s">
        <v>0</v>
      </c>
      <c r="G1" s="41" t="s">
        <v>0</v>
      </c>
      <c r="H1" s="41" t="s">
        <v>0</v>
      </c>
      <c r="I1" s="41" t="s">
        <v>1</v>
      </c>
      <c r="J1" s="41" t="s">
        <v>0</v>
      </c>
      <c r="K1" s="41" t="s">
        <v>0</v>
      </c>
      <c r="L1" s="41" t="s">
        <v>2</v>
      </c>
      <c r="M1" s="41" t="s">
        <v>0</v>
      </c>
      <c r="N1" s="41" t="s">
        <v>3</v>
      </c>
      <c r="O1" s="41" t="s">
        <v>0</v>
      </c>
      <c r="P1" s="41" t="s">
        <v>0</v>
      </c>
      <c r="Q1" s="41" t="s">
        <v>0</v>
      </c>
      <c r="R1" s="41" t="s">
        <v>0</v>
      </c>
      <c r="S1" s="41" t="s">
        <v>0</v>
      </c>
      <c r="T1" s="41" t="s">
        <v>0</v>
      </c>
      <c r="U1" s="41" t="s">
        <v>0</v>
      </c>
      <c r="V1" s="41" t="s">
        <v>0</v>
      </c>
      <c r="W1" s="41" t="s">
        <v>5</v>
      </c>
      <c r="X1" s="41" t="s">
        <v>0</v>
      </c>
      <c r="Y1" s="41" t="s">
        <v>7</v>
      </c>
      <c r="Z1" s="41" t="s">
        <v>0</v>
      </c>
      <c r="AA1" s="41" t="s">
        <v>265</v>
      </c>
      <c r="AB1" s="41" t="s">
        <v>0</v>
      </c>
      <c r="AC1" s="41" t="s">
        <v>6</v>
      </c>
      <c r="AD1" s="41" t="s">
        <v>0</v>
      </c>
      <c r="AE1" s="41" t="s">
        <v>0</v>
      </c>
      <c r="AF1" s="41" t="s">
        <v>8</v>
      </c>
      <c r="AG1" s="41" t="s">
        <v>0</v>
      </c>
      <c r="AH1" s="41" t="s">
        <v>0</v>
      </c>
      <c r="AI1" s="41" t="s">
        <v>6</v>
      </c>
      <c r="AJ1" s="41" t="s">
        <v>0</v>
      </c>
      <c r="AK1" s="41" t="s">
        <v>0</v>
      </c>
      <c r="AL1" s="41" t="s">
        <v>4</v>
      </c>
      <c r="AM1" s="41" t="s">
        <v>0</v>
      </c>
      <c r="AN1" s="41" t="s">
        <v>0</v>
      </c>
      <c r="AO1" s="41" t="s">
        <v>0</v>
      </c>
      <c r="AP1" s="41" t="s">
        <v>4</v>
      </c>
      <c r="AQ1" s="41" t="s">
        <v>0</v>
      </c>
      <c r="AR1" s="41" t="s">
        <v>0</v>
      </c>
      <c r="AS1" s="41" t="s">
        <v>4</v>
      </c>
      <c r="AT1" s="41" t="s">
        <v>0</v>
      </c>
      <c r="AU1" s="41" t="s">
        <v>50</v>
      </c>
      <c r="AV1" s="41" t="s">
        <v>0</v>
      </c>
      <c r="AW1" s="41" t="s">
        <v>0</v>
      </c>
      <c r="AX1" s="41" t="s">
        <v>4</v>
      </c>
      <c r="AY1" s="41" t="s">
        <v>0</v>
      </c>
      <c r="AZ1" s="41" t="s">
        <v>4</v>
      </c>
      <c r="BA1" s="41" t="s">
        <v>0</v>
      </c>
      <c r="BB1" s="41" t="s">
        <v>4</v>
      </c>
      <c r="BC1" s="41" t="s">
        <v>6</v>
      </c>
      <c r="BD1" s="41" t="s">
        <v>0</v>
      </c>
      <c r="BE1" s="41" t="s">
        <v>0</v>
      </c>
      <c r="BF1" s="41" t="s">
        <v>4</v>
      </c>
      <c r="BG1" s="41" t="s">
        <v>9</v>
      </c>
      <c r="BH1" s="41" t="s">
        <v>0</v>
      </c>
      <c r="BI1" s="41" t="s">
        <v>0</v>
      </c>
      <c r="BJ1" s="41">
        <v>0</v>
      </c>
      <c r="BK1" s="41" t="s">
        <v>10</v>
      </c>
      <c r="BL1" s="41">
        <v>0</v>
      </c>
      <c r="BM1" s="41" t="s">
        <v>0</v>
      </c>
      <c r="BN1" s="41" t="s">
        <v>0</v>
      </c>
      <c r="BO1" s="22"/>
      <c r="BP1" s="22"/>
    </row>
    <row r="2" spans="1:68" ht="12.75">
      <c r="A2" s="16"/>
      <c r="B2" s="41" t="s">
        <v>12</v>
      </c>
      <c r="C2" s="41" t="s">
        <v>339</v>
      </c>
      <c r="D2" s="41" t="s">
        <v>339</v>
      </c>
      <c r="E2" s="41" t="s">
        <v>339</v>
      </c>
      <c r="F2" s="41" t="s">
        <v>339</v>
      </c>
      <c r="G2" s="41" t="s">
        <v>339</v>
      </c>
      <c r="H2" s="41" t="s">
        <v>16</v>
      </c>
      <c r="I2" s="41" t="s">
        <v>15</v>
      </c>
      <c r="J2" s="41" t="s">
        <v>13</v>
      </c>
      <c r="K2" s="41" t="s">
        <v>17</v>
      </c>
      <c r="L2" s="41" t="s">
        <v>15</v>
      </c>
      <c r="M2" s="41" t="s">
        <v>273</v>
      </c>
      <c r="N2" s="41" t="s">
        <v>15</v>
      </c>
      <c r="O2" s="41" t="s">
        <v>234</v>
      </c>
      <c r="P2" s="41" t="s">
        <v>19</v>
      </c>
      <c r="Q2" s="41" t="s">
        <v>20</v>
      </c>
      <c r="R2" s="41" t="s">
        <v>18</v>
      </c>
      <c r="S2" s="41" t="s">
        <v>22</v>
      </c>
      <c r="T2" s="41" t="s">
        <v>284</v>
      </c>
      <c r="U2" s="41" t="s">
        <v>21</v>
      </c>
      <c r="V2" s="41" t="s">
        <v>23</v>
      </c>
      <c r="W2" s="41" t="s">
        <v>15</v>
      </c>
      <c r="X2" s="41" t="s">
        <v>24</v>
      </c>
      <c r="Y2" s="41" t="s">
        <v>30</v>
      </c>
      <c r="Z2" s="41" t="s">
        <v>25</v>
      </c>
      <c r="AA2" s="41" t="s">
        <v>46</v>
      </c>
      <c r="AB2" s="41" t="s">
        <v>14</v>
      </c>
      <c r="AC2" s="41" t="s">
        <v>29</v>
      </c>
      <c r="AD2" s="41" t="s">
        <v>275</v>
      </c>
      <c r="AE2" s="41" t="s">
        <v>71</v>
      </c>
      <c r="AF2" s="41" t="s">
        <v>15</v>
      </c>
      <c r="AG2" s="41" t="s">
        <v>26</v>
      </c>
      <c r="AH2" s="41" t="s">
        <v>14</v>
      </c>
      <c r="AI2" s="41" t="s">
        <v>29</v>
      </c>
      <c r="AJ2" s="41" t="s">
        <v>27</v>
      </c>
      <c r="AK2" s="41" t="s">
        <v>28</v>
      </c>
      <c r="AL2" s="41" t="s">
        <v>14</v>
      </c>
      <c r="AM2" s="41" t="s">
        <v>32</v>
      </c>
      <c r="AN2" s="41" t="s">
        <v>31</v>
      </c>
      <c r="AO2" s="41" t="s">
        <v>33</v>
      </c>
      <c r="AP2" s="41" t="s">
        <v>34</v>
      </c>
      <c r="AQ2" s="41" t="s">
        <v>36</v>
      </c>
      <c r="AR2" s="41" t="s">
        <v>35</v>
      </c>
      <c r="AS2" s="41" t="s">
        <v>37</v>
      </c>
      <c r="AT2" s="41" t="s">
        <v>39</v>
      </c>
      <c r="AU2" s="41" t="s">
        <v>15</v>
      </c>
      <c r="AV2" s="41" t="s">
        <v>38</v>
      </c>
      <c r="AW2" s="41" t="s">
        <v>41</v>
      </c>
      <c r="AX2" s="41" t="s">
        <v>40</v>
      </c>
      <c r="AY2" s="41" t="s">
        <v>14</v>
      </c>
      <c r="AZ2" s="41" t="s">
        <v>42</v>
      </c>
      <c r="BA2" s="41" t="s">
        <v>14</v>
      </c>
      <c r="BB2" s="41" t="s">
        <v>260</v>
      </c>
      <c r="BC2" s="41" t="s">
        <v>29</v>
      </c>
      <c r="BD2" s="41" t="s">
        <v>43</v>
      </c>
      <c r="BE2" s="41" t="s">
        <v>45</v>
      </c>
      <c r="BF2" s="41" t="s">
        <v>44</v>
      </c>
      <c r="BG2" s="41" t="s">
        <v>46</v>
      </c>
      <c r="BH2" s="41" t="s">
        <v>47</v>
      </c>
      <c r="BI2" s="41" t="s">
        <v>48</v>
      </c>
      <c r="BJ2" s="41">
        <v>0</v>
      </c>
      <c r="BK2" s="41" t="s">
        <v>49</v>
      </c>
      <c r="BL2" s="41">
        <v>0</v>
      </c>
      <c r="BM2" s="41" t="s">
        <v>272</v>
      </c>
      <c r="BN2" s="41" t="s">
        <v>303</v>
      </c>
      <c r="BO2" s="22"/>
      <c r="BP2" s="22"/>
    </row>
    <row r="3" spans="1:68" ht="12.75">
      <c r="A3" s="19"/>
      <c r="B3" s="41" t="s">
        <v>51</v>
      </c>
      <c r="C3" s="41" t="s">
        <v>346</v>
      </c>
      <c r="D3" s="41" t="s">
        <v>137</v>
      </c>
      <c r="E3" s="41" t="s">
        <v>137</v>
      </c>
      <c r="F3" s="41" t="s">
        <v>342</v>
      </c>
      <c r="G3" s="41" t="s">
        <v>344</v>
      </c>
      <c r="H3" s="41" t="s">
        <v>137</v>
      </c>
      <c r="I3" s="41" t="s">
        <v>29</v>
      </c>
      <c r="J3" s="41" t="s">
        <v>137</v>
      </c>
      <c r="K3" s="41" t="s">
        <v>53</v>
      </c>
      <c r="L3" s="41" t="s">
        <v>52</v>
      </c>
      <c r="M3" s="41" t="s">
        <v>66</v>
      </c>
      <c r="N3" s="41" t="s">
        <v>29</v>
      </c>
      <c r="O3" s="41" t="s">
        <v>137</v>
      </c>
      <c r="P3" s="41" t="s">
        <v>53</v>
      </c>
      <c r="Q3" s="41" t="s">
        <v>54</v>
      </c>
      <c r="R3" s="41" t="s">
        <v>137</v>
      </c>
      <c r="S3" s="41" t="s">
        <v>137</v>
      </c>
      <c r="T3" s="41" t="s">
        <v>283</v>
      </c>
      <c r="U3" s="41" t="s">
        <v>55</v>
      </c>
      <c r="V3" s="41" t="s">
        <v>262</v>
      </c>
      <c r="W3" s="41" t="s">
        <v>29</v>
      </c>
      <c r="X3" s="41" t="s">
        <v>53</v>
      </c>
      <c r="Y3" s="41" t="s">
        <v>62</v>
      </c>
      <c r="Z3" s="41" t="s">
        <v>193</v>
      </c>
      <c r="AA3" s="41" t="s">
        <v>266</v>
      </c>
      <c r="AB3" s="41" t="s">
        <v>285</v>
      </c>
      <c r="AC3" s="41" t="s">
        <v>77</v>
      </c>
      <c r="AD3" s="41" t="s">
        <v>276</v>
      </c>
      <c r="AE3" s="41"/>
      <c r="AF3" s="41" t="s">
        <v>73</v>
      </c>
      <c r="AG3" s="41" t="s">
        <v>57</v>
      </c>
      <c r="AH3" s="41" t="s">
        <v>58</v>
      </c>
      <c r="AI3" s="41" t="s">
        <v>61</v>
      </c>
      <c r="AJ3" s="41">
        <v>0</v>
      </c>
      <c r="AK3" s="41" t="s">
        <v>59</v>
      </c>
      <c r="AL3" s="41" t="s">
        <v>60</v>
      </c>
      <c r="AM3" s="41" t="s">
        <v>64</v>
      </c>
      <c r="AN3" s="41" t="s">
        <v>63</v>
      </c>
      <c r="AO3" s="41"/>
      <c r="AP3" s="41" t="s">
        <v>65</v>
      </c>
      <c r="AQ3" s="41" t="s">
        <v>68</v>
      </c>
      <c r="AR3" s="41" t="s">
        <v>67</v>
      </c>
      <c r="AS3" s="41" t="s">
        <v>280</v>
      </c>
      <c r="AT3" s="41" t="s">
        <v>56</v>
      </c>
      <c r="AU3" s="41" t="s">
        <v>29</v>
      </c>
      <c r="AV3" s="41" t="s">
        <v>70</v>
      </c>
      <c r="AW3" s="41" t="s">
        <v>69</v>
      </c>
      <c r="AX3" s="41" t="s">
        <v>71</v>
      </c>
      <c r="AY3" s="41" t="s">
        <v>277</v>
      </c>
      <c r="AZ3" s="41" t="s">
        <v>72</v>
      </c>
      <c r="BA3" s="41" t="s">
        <v>74</v>
      </c>
      <c r="BB3" s="41" t="s">
        <v>76</v>
      </c>
      <c r="BC3" s="41" t="s">
        <v>75</v>
      </c>
      <c r="BD3" s="41" t="s">
        <v>78</v>
      </c>
      <c r="BE3" s="41" t="s">
        <v>80</v>
      </c>
      <c r="BF3" s="41" t="s">
        <v>79</v>
      </c>
      <c r="BG3" s="41" t="s">
        <v>81</v>
      </c>
      <c r="BH3" s="41" t="s">
        <v>82</v>
      </c>
      <c r="BI3" s="41" t="s">
        <v>83</v>
      </c>
      <c r="BJ3" s="41">
        <v>0</v>
      </c>
      <c r="BK3" s="41" t="s">
        <v>84</v>
      </c>
      <c r="BL3" s="41">
        <v>0</v>
      </c>
      <c r="BM3" s="41" t="s">
        <v>271</v>
      </c>
      <c r="BN3" s="41" t="s">
        <v>271</v>
      </c>
      <c r="BO3" s="22"/>
      <c r="BP3" s="22"/>
    </row>
    <row r="4" spans="1:68" s="112" customFormat="1" ht="12.75">
      <c r="A4" s="34"/>
      <c r="B4" s="113" t="s">
        <v>85</v>
      </c>
      <c r="C4" s="113" t="s">
        <v>86</v>
      </c>
      <c r="D4" s="113" t="s">
        <v>340</v>
      </c>
      <c r="E4" s="113" t="s">
        <v>341</v>
      </c>
      <c r="F4" s="113" t="s">
        <v>343</v>
      </c>
      <c r="G4" s="113" t="s">
        <v>345</v>
      </c>
      <c r="H4" s="113" t="s">
        <v>87</v>
      </c>
      <c r="I4" s="113" t="s">
        <v>88</v>
      </c>
      <c r="J4" s="113" t="s">
        <v>89</v>
      </c>
      <c r="K4" s="113" t="s">
        <v>90</v>
      </c>
      <c r="L4" s="113" t="s">
        <v>91</v>
      </c>
      <c r="M4" s="113" t="s">
        <v>92</v>
      </c>
      <c r="N4" s="113" t="s">
        <v>189</v>
      </c>
      <c r="O4" s="113" t="s">
        <v>190</v>
      </c>
      <c r="P4" s="113" t="s">
        <v>191</v>
      </c>
      <c r="Q4" s="113" t="s">
        <v>93</v>
      </c>
      <c r="R4" s="113" t="s">
        <v>94</v>
      </c>
      <c r="S4" s="113" t="s">
        <v>95</v>
      </c>
      <c r="T4" s="113" t="s">
        <v>96</v>
      </c>
      <c r="U4" s="113" t="s">
        <v>97</v>
      </c>
      <c r="V4" s="113" t="s">
        <v>98</v>
      </c>
      <c r="W4" s="113" t="s">
        <v>99</v>
      </c>
      <c r="X4" s="113" t="s">
        <v>100</v>
      </c>
      <c r="Y4" s="113" t="s">
        <v>101</v>
      </c>
      <c r="Z4" s="113" t="s">
        <v>102</v>
      </c>
      <c r="AA4" s="113" t="s">
        <v>103</v>
      </c>
      <c r="AB4" s="113" t="s">
        <v>104</v>
      </c>
      <c r="AC4" s="113" t="s">
        <v>105</v>
      </c>
      <c r="AD4" s="113" t="s">
        <v>106</v>
      </c>
      <c r="AE4" s="113" t="s">
        <v>305</v>
      </c>
      <c r="AF4" s="113" t="s">
        <v>107</v>
      </c>
      <c r="AG4" s="113" t="s">
        <v>108</v>
      </c>
      <c r="AH4" s="113" t="s">
        <v>109</v>
      </c>
      <c r="AI4" s="113" t="s">
        <v>110</v>
      </c>
      <c r="AJ4" s="113" t="s">
        <v>111</v>
      </c>
      <c r="AK4" s="113" t="s">
        <v>112</v>
      </c>
      <c r="AL4" s="113" t="s">
        <v>113</v>
      </c>
      <c r="AM4" s="113" t="s">
        <v>114</v>
      </c>
      <c r="AN4" s="113" t="s">
        <v>115</v>
      </c>
      <c r="AO4" s="113" t="s">
        <v>116</v>
      </c>
      <c r="AP4" s="113" t="s">
        <v>117</v>
      </c>
      <c r="AQ4" s="113" t="s">
        <v>118</v>
      </c>
      <c r="AR4" s="113" t="s">
        <v>119</v>
      </c>
      <c r="AS4" s="113" t="s">
        <v>120</v>
      </c>
      <c r="AT4" s="113" t="s">
        <v>121</v>
      </c>
      <c r="AU4" s="113" t="s">
        <v>122</v>
      </c>
      <c r="AV4" s="113" t="s">
        <v>123</v>
      </c>
      <c r="AW4" s="113" t="s">
        <v>124</v>
      </c>
      <c r="AX4" s="113" t="s">
        <v>125</v>
      </c>
      <c r="AY4" s="113" t="s">
        <v>126</v>
      </c>
      <c r="AZ4" s="113" t="s">
        <v>127</v>
      </c>
      <c r="BA4" s="113" t="s">
        <v>128</v>
      </c>
      <c r="BB4" s="113" t="s">
        <v>129</v>
      </c>
      <c r="BC4" s="113" t="s">
        <v>130</v>
      </c>
      <c r="BD4" s="113" t="s">
        <v>195</v>
      </c>
      <c r="BE4" s="113" t="s">
        <v>131</v>
      </c>
      <c r="BF4" s="113" t="s">
        <v>132</v>
      </c>
      <c r="BG4" s="113" t="s">
        <v>133</v>
      </c>
      <c r="BH4" s="113" t="s">
        <v>134</v>
      </c>
      <c r="BI4" s="113" t="s">
        <v>310</v>
      </c>
      <c r="BJ4" s="113">
        <v>0</v>
      </c>
      <c r="BK4" s="113">
        <v>0</v>
      </c>
      <c r="BL4" s="113">
        <v>0</v>
      </c>
      <c r="BM4" s="113" t="s">
        <v>309</v>
      </c>
      <c r="BN4" s="113" t="s">
        <v>311</v>
      </c>
      <c r="BO4" s="64"/>
      <c r="BP4" s="64"/>
    </row>
    <row r="5" spans="1:68" ht="12.75">
      <c r="A5" s="21" t="s">
        <v>216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H5" s="3"/>
      <c r="BI5" s="3"/>
      <c r="BK5" s="11"/>
      <c r="BL5" s="11"/>
      <c r="BM5" s="11"/>
      <c r="BN5" s="11"/>
      <c r="BO5" s="11"/>
      <c r="BP5" s="11"/>
    </row>
    <row r="6" spans="1:61" ht="12.75">
      <c r="A6" s="46" t="s">
        <v>334</v>
      </c>
      <c r="B6" s="110">
        <f>(83.1+18.2)*1000</f>
        <v>101300</v>
      </c>
      <c r="C6" s="116">
        <f>82.9*1000</f>
        <v>82900</v>
      </c>
      <c r="D6" s="116"/>
      <c r="E6" s="116"/>
      <c r="F6" s="116"/>
      <c r="G6" s="116"/>
      <c r="H6" s="110">
        <v>56230</v>
      </c>
      <c r="I6" s="110">
        <v>52800</v>
      </c>
      <c r="J6" s="110">
        <v>36744</v>
      </c>
      <c r="K6" s="110">
        <v>24517.479</v>
      </c>
      <c r="L6" s="110">
        <v>22100</v>
      </c>
      <c r="M6" s="110">
        <v>14604.632</v>
      </c>
      <c r="N6" s="117"/>
      <c r="O6" s="110">
        <v>28128.396</v>
      </c>
      <c r="P6" s="110">
        <v>51283.565</v>
      </c>
      <c r="Q6" s="110">
        <v>15745</v>
      </c>
      <c r="R6" s="110">
        <v>15649118</v>
      </c>
      <c r="S6" s="110">
        <v>1712</v>
      </c>
      <c r="T6" s="116">
        <v>21411.911</v>
      </c>
      <c r="U6" s="110">
        <v>21848.55</v>
      </c>
      <c r="V6" s="110">
        <v>10279.123</v>
      </c>
      <c r="W6" s="110">
        <v>0</v>
      </c>
      <c r="X6" s="110">
        <v>10300</v>
      </c>
      <c r="Y6" s="110">
        <v>0</v>
      </c>
      <c r="Z6" s="110">
        <v>7400</v>
      </c>
      <c r="AA6" s="110">
        <v>5349.331</v>
      </c>
      <c r="AB6" s="110">
        <v>0</v>
      </c>
      <c r="AC6" s="110">
        <v>0</v>
      </c>
      <c r="AD6" s="110">
        <v>0</v>
      </c>
      <c r="AE6" s="110">
        <v>11308.548</v>
      </c>
      <c r="AF6" s="110">
        <v>0</v>
      </c>
      <c r="AG6" s="110">
        <v>12107.171</v>
      </c>
      <c r="AH6" s="110">
        <v>0</v>
      </c>
      <c r="AI6" s="110">
        <v>12832.679</v>
      </c>
      <c r="AJ6" s="116"/>
      <c r="AK6" s="110">
        <v>0</v>
      </c>
      <c r="AL6" s="110">
        <v>0</v>
      </c>
      <c r="AM6" s="116"/>
      <c r="AN6" s="110">
        <v>0</v>
      </c>
      <c r="AO6" s="110">
        <v>4672.424</v>
      </c>
      <c r="AP6" s="110">
        <v>0</v>
      </c>
      <c r="AQ6" s="110">
        <v>2800</v>
      </c>
      <c r="AR6" s="110">
        <v>0</v>
      </c>
      <c r="AT6" s="110">
        <v>0</v>
      </c>
      <c r="AU6" s="110">
        <v>0</v>
      </c>
      <c r="AV6" s="110">
        <v>0</v>
      </c>
      <c r="AW6" s="110">
        <v>0</v>
      </c>
      <c r="AX6" s="110">
        <v>0</v>
      </c>
      <c r="AY6" s="110">
        <v>22.3</v>
      </c>
      <c r="AZ6" s="110">
        <v>0</v>
      </c>
      <c r="BA6" s="119">
        <v>0</v>
      </c>
      <c r="BB6" s="110">
        <v>1284.686</v>
      </c>
      <c r="BC6" s="110">
        <v>0</v>
      </c>
      <c r="BD6" s="110">
        <v>0</v>
      </c>
      <c r="BE6" s="110">
        <v>0</v>
      </c>
      <c r="BF6" s="110">
        <v>610.341</v>
      </c>
      <c r="BG6" s="110">
        <v>0</v>
      </c>
      <c r="BH6" s="110">
        <v>0</v>
      </c>
      <c r="BI6" s="110">
        <v>0</v>
      </c>
    </row>
    <row r="7" spans="1:61" ht="12.75">
      <c r="A7" s="46" t="s">
        <v>336</v>
      </c>
      <c r="B7" s="110">
        <v>21.3</v>
      </c>
      <c r="C7" s="116">
        <v>24.8</v>
      </c>
      <c r="D7" s="116"/>
      <c r="E7" s="116"/>
      <c r="F7" s="116"/>
      <c r="G7" s="116"/>
      <c r="H7" s="110">
        <v>12</v>
      </c>
      <c r="I7" s="110">
        <v>15</v>
      </c>
      <c r="J7" s="110">
        <v>10</v>
      </c>
      <c r="K7" s="110">
        <v>6.1</v>
      </c>
      <c r="L7" s="110">
        <v>4.5</v>
      </c>
      <c r="M7" s="110">
        <v>2</v>
      </c>
      <c r="N7" s="117"/>
      <c r="O7" s="110">
        <v>4.5</v>
      </c>
      <c r="P7" s="110">
        <v>4.5</v>
      </c>
      <c r="Q7" s="110">
        <v>5</v>
      </c>
      <c r="R7" s="110">
        <v>3.77</v>
      </c>
      <c r="S7" s="110">
        <v>0</v>
      </c>
      <c r="T7" s="110">
        <v>5</v>
      </c>
      <c r="U7" s="110">
        <v>4.5</v>
      </c>
      <c r="V7" s="110">
        <v>3</v>
      </c>
      <c r="W7" s="110">
        <v>0</v>
      </c>
      <c r="X7" s="110">
        <v>2.7</v>
      </c>
      <c r="Y7" s="110">
        <v>0</v>
      </c>
      <c r="Z7" s="110">
        <v>2.2</v>
      </c>
      <c r="AA7" s="110">
        <v>0</v>
      </c>
      <c r="AB7" s="110">
        <v>0</v>
      </c>
      <c r="AC7" s="110">
        <v>0</v>
      </c>
      <c r="AD7" s="110">
        <v>0</v>
      </c>
      <c r="AE7" s="110">
        <v>2</v>
      </c>
      <c r="AF7" s="110">
        <v>0</v>
      </c>
      <c r="AG7" s="119">
        <v>1.75</v>
      </c>
      <c r="AH7" s="110">
        <v>0</v>
      </c>
      <c r="AI7" s="110">
        <v>2</v>
      </c>
      <c r="AJ7" s="116"/>
      <c r="AK7" s="110">
        <v>0</v>
      </c>
      <c r="AL7" s="110">
        <v>0</v>
      </c>
      <c r="AM7" s="116"/>
      <c r="AN7" s="110">
        <v>0</v>
      </c>
      <c r="AO7" s="110">
        <v>1</v>
      </c>
      <c r="AP7" s="110">
        <v>0</v>
      </c>
      <c r="AQ7" s="110">
        <v>1</v>
      </c>
      <c r="AR7" s="110">
        <v>0</v>
      </c>
      <c r="AU7" s="110">
        <v>0</v>
      </c>
      <c r="AV7" s="110">
        <v>0</v>
      </c>
      <c r="AW7" s="110">
        <v>0</v>
      </c>
      <c r="AX7" s="110">
        <v>0</v>
      </c>
      <c r="AY7" s="110">
        <v>5.5</v>
      </c>
      <c r="AZ7" s="110">
        <v>0</v>
      </c>
      <c r="BA7" s="119">
        <v>0</v>
      </c>
      <c r="BB7" s="110">
        <v>0.5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</row>
    <row r="8" spans="1:61" ht="12.75">
      <c r="A8" s="46" t="s">
        <v>333</v>
      </c>
      <c r="B8" s="110">
        <v>7440.242</v>
      </c>
      <c r="C8" s="116">
        <v>4495</v>
      </c>
      <c r="D8" s="116"/>
      <c r="E8" s="116"/>
      <c r="F8" s="116"/>
      <c r="G8" s="116"/>
      <c r="H8" s="110">
        <v>17890</v>
      </c>
      <c r="J8" s="110">
        <v>597</v>
      </c>
      <c r="K8" s="110">
        <v>3700</v>
      </c>
      <c r="L8" s="110">
        <v>3349.397</v>
      </c>
      <c r="M8" s="110">
        <v>673.457</v>
      </c>
      <c r="N8" s="110">
        <v>5309.767</v>
      </c>
      <c r="O8" s="110">
        <v>13680.961</v>
      </c>
      <c r="P8" s="110">
        <v>0</v>
      </c>
      <c r="Q8" s="110">
        <v>891</v>
      </c>
      <c r="R8" s="110">
        <v>0</v>
      </c>
      <c r="S8" s="110">
        <v>0</v>
      </c>
      <c r="T8" s="110">
        <v>8332</v>
      </c>
      <c r="U8" s="110">
        <v>804.386</v>
      </c>
      <c r="V8" s="110">
        <v>0</v>
      </c>
      <c r="W8" s="110">
        <v>0</v>
      </c>
      <c r="X8" s="110">
        <v>0</v>
      </c>
      <c r="Y8" s="110">
        <v>0</v>
      </c>
      <c r="Z8" s="110">
        <v>499.488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445.684</v>
      </c>
      <c r="AJ8" s="110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9"/>
      <c r="AR8" s="110">
        <v>0</v>
      </c>
      <c r="AU8" s="110">
        <v>0</v>
      </c>
      <c r="AV8" s="110">
        <v>0</v>
      </c>
      <c r="AW8" s="110">
        <v>0</v>
      </c>
      <c r="AX8" s="110">
        <v>0</v>
      </c>
      <c r="AY8" s="110">
        <v>4484.934</v>
      </c>
      <c r="AZ8" s="110">
        <v>0</v>
      </c>
      <c r="BA8" s="119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</row>
    <row r="9" spans="1:63" ht="12.75">
      <c r="A9" s="46" t="s">
        <v>337</v>
      </c>
      <c r="B9" s="110">
        <v>74554000</v>
      </c>
      <c r="C9" s="116"/>
      <c r="D9" s="116">
        <v>236367055</v>
      </c>
      <c r="E9" s="116">
        <v>9738536</v>
      </c>
      <c r="F9" s="116">
        <v>3362111</v>
      </c>
      <c r="G9" s="116">
        <v>727076</v>
      </c>
      <c r="H9" s="110">
        <v>47619000</v>
      </c>
      <c r="I9" s="110">
        <f>38599000+82000</f>
        <v>38681000</v>
      </c>
      <c r="J9" s="110">
        <v>42074349</v>
      </c>
      <c r="K9" s="110">
        <v>19167000</v>
      </c>
      <c r="L9" s="110">
        <v>16545000</v>
      </c>
      <c r="M9" s="110">
        <f>14887300+1837400</f>
        <v>16724700</v>
      </c>
      <c r="N9" s="110">
        <v>16356000</v>
      </c>
      <c r="O9" s="110">
        <v>12312000</v>
      </c>
      <c r="P9" s="110">
        <v>12336000</v>
      </c>
      <c r="Q9" s="110">
        <v>11467375</v>
      </c>
      <c r="R9" s="110">
        <v>11936000</v>
      </c>
      <c r="S9" s="110">
        <v>14095300</v>
      </c>
      <c r="T9" s="110">
        <v>11065100</v>
      </c>
      <c r="U9" s="110">
        <v>11693000</v>
      </c>
      <c r="V9" s="110">
        <v>9160000</v>
      </c>
      <c r="W9" s="110">
        <v>318300</v>
      </c>
      <c r="X9" s="110">
        <v>7512832</v>
      </c>
      <c r="Y9" s="110">
        <v>635945</v>
      </c>
      <c r="Z9" s="110">
        <v>25221467</v>
      </c>
      <c r="AA9" s="110">
        <v>6682793</v>
      </c>
      <c r="AB9" s="110">
        <v>6069200</v>
      </c>
      <c r="AC9" s="110">
        <v>259678</v>
      </c>
      <c r="AD9" s="110">
        <v>876000</v>
      </c>
      <c r="AE9" s="110">
        <v>4302000</v>
      </c>
      <c r="AF9" s="110">
        <v>90500</v>
      </c>
      <c r="AG9" s="110">
        <v>3764.873</v>
      </c>
      <c r="AH9" s="110">
        <v>26194.9</v>
      </c>
      <c r="AI9" s="110">
        <v>2410.872</v>
      </c>
      <c r="AJ9" s="110">
        <v>3078.9</v>
      </c>
      <c r="AK9" s="110">
        <f>2496.309+231.755</f>
        <v>2728.0640000000003</v>
      </c>
      <c r="AL9" s="110">
        <v>2716</v>
      </c>
      <c r="AM9" s="110">
        <v>1932</v>
      </c>
      <c r="AN9" s="110">
        <v>2281</v>
      </c>
      <c r="AO9" s="110">
        <v>1836</v>
      </c>
      <c r="AP9" s="110">
        <v>1553000</v>
      </c>
      <c r="AQ9" s="116"/>
      <c r="AR9" s="110">
        <v>1271037</v>
      </c>
      <c r="AS9" s="110">
        <f>92400+3164400</f>
        <v>3256800</v>
      </c>
      <c r="AT9" s="116">
        <v>19500</v>
      </c>
      <c r="AU9" s="110">
        <v>60.623</v>
      </c>
      <c r="AV9" s="110">
        <v>4765200</v>
      </c>
      <c r="AW9" s="110">
        <v>2143411</v>
      </c>
      <c r="AX9" s="110">
        <v>806720</v>
      </c>
      <c r="AY9" s="110">
        <f>1056000+136300</f>
        <v>1192300</v>
      </c>
      <c r="AZ9" s="110">
        <v>618000</v>
      </c>
      <c r="BA9" s="119">
        <v>513600</v>
      </c>
      <c r="BB9" s="110">
        <v>1786000</v>
      </c>
      <c r="BC9" s="110">
        <v>392000</v>
      </c>
      <c r="BD9" s="110">
        <v>944000</v>
      </c>
      <c r="BE9" s="110">
        <v>702186</v>
      </c>
      <c r="BF9" s="110">
        <v>2607000</v>
      </c>
      <c r="BG9" s="116"/>
      <c r="BH9" s="110">
        <v>1560000</v>
      </c>
      <c r="BI9" s="119">
        <v>3921</v>
      </c>
      <c r="BK9" s="110">
        <f>SUM(B9:BI9)</f>
        <v>692130995.232</v>
      </c>
    </row>
    <row r="10" spans="1:63" ht="12.75">
      <c r="A10" s="46" t="s">
        <v>335</v>
      </c>
      <c r="B10" s="110">
        <v>159191000</v>
      </c>
      <c r="C10" s="116"/>
      <c r="D10" s="116">
        <v>291730076</v>
      </c>
      <c r="E10" s="116">
        <v>78516098</v>
      </c>
      <c r="F10" s="116">
        <v>4292030</v>
      </c>
      <c r="G10" s="116">
        <v>833406</v>
      </c>
      <c r="H10" s="110">
        <v>85061000</v>
      </c>
      <c r="I10" s="110">
        <f>71235000+4630000</f>
        <v>75865000</v>
      </c>
      <c r="J10" s="110">
        <v>74746540</v>
      </c>
      <c r="K10" s="110">
        <v>34538000</v>
      </c>
      <c r="L10" s="110">
        <v>31126000</v>
      </c>
      <c r="M10" s="110">
        <f>19717500+8096500</f>
        <v>27814000</v>
      </c>
      <c r="N10" s="110">
        <v>25235000</v>
      </c>
      <c r="O10" s="110">
        <v>34850000</v>
      </c>
      <c r="P10" s="110">
        <v>25831000</v>
      </c>
      <c r="Q10" s="110">
        <v>19630053</v>
      </c>
      <c r="R10" s="110">
        <v>16071000</v>
      </c>
      <c r="S10" s="110">
        <v>21907600</v>
      </c>
      <c r="T10" s="110">
        <v>22034900</v>
      </c>
      <c r="U10" s="110">
        <v>22801000</v>
      </c>
      <c r="V10" s="110">
        <v>16281000</v>
      </c>
      <c r="W10" s="110">
        <v>5446900</v>
      </c>
      <c r="X10" s="110">
        <v>14532859</v>
      </c>
      <c r="Y10" s="110">
        <v>7674200</v>
      </c>
      <c r="Z10" s="110">
        <v>29898385</v>
      </c>
      <c r="AA10" s="110">
        <v>12251838</v>
      </c>
      <c r="AB10" s="110">
        <v>7438200</v>
      </c>
      <c r="AC10" s="110">
        <v>6169005</v>
      </c>
      <c r="AD10" s="110">
        <v>5074000</v>
      </c>
      <c r="AE10" s="110">
        <v>8822000</v>
      </c>
      <c r="AF10" s="110">
        <v>1708800</v>
      </c>
      <c r="AG10" s="110">
        <v>6269.975</v>
      </c>
      <c r="AH10" s="110">
        <v>38488.8</v>
      </c>
      <c r="AI10" s="110">
        <v>4807.612</v>
      </c>
      <c r="AJ10" s="110">
        <v>4775.2</v>
      </c>
      <c r="AM10" s="110">
        <v>3255</v>
      </c>
      <c r="AO10" s="110">
        <v>4116</v>
      </c>
      <c r="AP10" s="110">
        <v>1553000</v>
      </c>
      <c r="AQ10" s="116"/>
      <c r="AR10" s="110">
        <v>1223546</v>
      </c>
      <c r="AS10" s="110">
        <f>884400+5033700</f>
        <v>5918100</v>
      </c>
      <c r="AT10" s="116">
        <v>304400</v>
      </c>
      <c r="AU10" s="110">
        <v>1174.343</v>
      </c>
      <c r="AV10" s="110">
        <v>6246900</v>
      </c>
      <c r="AW10" s="110">
        <v>2712398</v>
      </c>
      <c r="AX10" s="110">
        <v>806720</v>
      </c>
      <c r="AY10" s="110">
        <f>16627700+2532500</f>
        <v>19160200</v>
      </c>
      <c r="AZ10" s="110">
        <v>618000</v>
      </c>
      <c r="BA10" s="119">
        <v>513600</v>
      </c>
      <c r="BB10" s="110">
        <v>2710000</v>
      </c>
      <c r="BC10" s="110">
        <v>392000</v>
      </c>
      <c r="BD10" s="110">
        <v>1177000</v>
      </c>
      <c r="BE10" s="110">
        <v>836362</v>
      </c>
      <c r="BF10" s="110">
        <v>2607000</v>
      </c>
      <c r="BG10" s="116"/>
      <c r="BH10" s="110">
        <v>2016000</v>
      </c>
      <c r="BI10" s="119">
        <v>3921</v>
      </c>
      <c r="BK10" s="110">
        <f>SUM(B10:BI10)</f>
        <v>1216232923.9299998</v>
      </c>
    </row>
    <row r="11" spans="42:61" ht="12.75">
      <c r="AP11" s="110" t="s">
        <v>394</v>
      </c>
      <c r="AQ11" s="110" t="s">
        <v>391</v>
      </c>
      <c r="AR11" s="110" t="s">
        <v>394</v>
      </c>
      <c r="AS11" s="110" t="s">
        <v>394</v>
      </c>
      <c r="AV11" s="110" t="s">
        <v>394</v>
      </c>
      <c r="AW11" s="110" t="s">
        <v>394</v>
      </c>
      <c r="AX11" s="110" t="s">
        <v>394</v>
      </c>
      <c r="AY11" s="110" t="s">
        <v>394</v>
      </c>
      <c r="AZ11" s="110" t="s">
        <v>394</v>
      </c>
      <c r="BA11" s="110" t="s">
        <v>394</v>
      </c>
      <c r="BB11" s="110" t="s">
        <v>394</v>
      </c>
      <c r="BC11" s="110" t="s">
        <v>394</v>
      </c>
      <c r="BD11" s="110" t="s">
        <v>394</v>
      </c>
      <c r="BE11" s="110" t="s">
        <v>394</v>
      </c>
      <c r="BF11" s="110" t="s">
        <v>394</v>
      </c>
      <c r="BG11" s="110" t="s">
        <v>392</v>
      </c>
      <c r="BH11" s="110" t="s">
        <v>394</v>
      </c>
      <c r="BI11" s="110" t="s">
        <v>394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H99"/>
  <sheetViews>
    <sheetView workbookViewId="0" topLeftCell="A68">
      <selection activeCell="C90" sqref="C90"/>
    </sheetView>
  </sheetViews>
  <sheetFormatPr defaultColWidth="9.00390625" defaultRowHeight="12.75"/>
  <cols>
    <col min="1" max="1" width="2.875" style="25" customWidth="1"/>
    <col min="2" max="2" width="2.75390625" style="25" customWidth="1"/>
    <col min="3" max="3" width="36.875" style="225" customWidth="1"/>
    <col min="4" max="4" width="4.75390625" style="187" customWidth="1"/>
    <col min="5" max="5" width="9.625" style="228" customWidth="1"/>
    <col min="6" max="6" width="4.375" style="225" customWidth="1"/>
    <col min="7" max="7" width="9.625" style="228" customWidth="1"/>
    <col min="8" max="8" width="5.50390625" style="225" customWidth="1"/>
    <col min="9" max="9" width="7.375" style="225" customWidth="1"/>
    <col min="10" max="11" width="0" style="225" hidden="1" customWidth="1"/>
    <col min="12" max="16384" width="9.00390625" style="225" customWidth="1"/>
  </cols>
  <sheetData>
    <row r="1" spans="1:9" ht="12.75">
      <c r="A1" s="61"/>
      <c r="B1" s="61"/>
      <c r="C1" s="82"/>
      <c r="D1" s="185"/>
      <c r="E1" s="224"/>
      <c r="F1" s="82"/>
      <c r="G1" s="224"/>
      <c r="H1" s="82"/>
      <c r="I1" s="82"/>
    </row>
    <row r="2" spans="1:9" ht="12.75">
      <c r="A2" s="61"/>
      <c r="B2" s="61"/>
      <c r="C2" s="82"/>
      <c r="D2" s="185"/>
      <c r="E2" s="56" t="s">
        <v>537</v>
      </c>
      <c r="F2" s="57"/>
      <c r="G2" s="56" t="s">
        <v>537</v>
      </c>
      <c r="H2" s="57"/>
      <c r="I2" s="58" t="s">
        <v>563</v>
      </c>
    </row>
    <row r="3" spans="1:9" ht="13.5" customHeight="1">
      <c r="A3" s="61"/>
      <c r="B3" s="61"/>
      <c r="C3" s="82"/>
      <c r="D3" s="186"/>
      <c r="E3" s="59" t="s">
        <v>332</v>
      </c>
      <c r="F3" s="57"/>
      <c r="G3" s="59" t="s">
        <v>289</v>
      </c>
      <c r="H3" s="57"/>
      <c r="I3" s="60" t="s">
        <v>564</v>
      </c>
    </row>
    <row r="4" spans="1:9" ht="13.5" customHeight="1">
      <c r="A4" s="61"/>
      <c r="B4" s="61"/>
      <c r="C4" s="82"/>
      <c r="D4" s="186"/>
      <c r="E4" s="226" t="s">
        <v>534</v>
      </c>
      <c r="F4" s="227"/>
      <c r="G4" s="226" t="s">
        <v>534</v>
      </c>
      <c r="H4" s="227"/>
      <c r="I4" s="227" t="s">
        <v>147</v>
      </c>
    </row>
    <row r="5" spans="1:9" ht="9" customHeight="1">
      <c r="A5" s="61"/>
      <c r="B5" s="61"/>
      <c r="C5" s="82"/>
      <c r="D5" s="186"/>
      <c r="H5" s="82"/>
      <c r="I5" s="82"/>
    </row>
    <row r="6" spans="1:13" ht="13.5" customHeight="1">
      <c r="A6" s="61">
        <v>1</v>
      </c>
      <c r="B6" s="61"/>
      <c r="C6" s="82" t="s">
        <v>148</v>
      </c>
      <c r="D6" s="186" t="s">
        <v>385</v>
      </c>
      <c r="E6" s="27">
        <v>85686756.101</v>
      </c>
      <c r="F6" s="112"/>
      <c r="G6" s="27">
        <f>75604040.748+1570586+3616</f>
        <v>77178242.748</v>
      </c>
      <c r="H6" s="27"/>
      <c r="I6" s="229">
        <f>(E6/G6)-1</f>
        <v>0.11024497384297449</v>
      </c>
      <c r="M6" s="27"/>
    </row>
    <row r="7" spans="1:16" ht="13.5" customHeight="1">
      <c r="A7" s="61">
        <v>2</v>
      </c>
      <c r="B7" s="61"/>
      <c r="C7" s="82" t="s">
        <v>306</v>
      </c>
      <c r="D7" s="186" t="s">
        <v>150</v>
      </c>
      <c r="E7" s="27">
        <v>76087894</v>
      </c>
      <c r="F7" s="112"/>
      <c r="G7" s="27">
        <v>61105843.680999994</v>
      </c>
      <c r="H7" s="27"/>
      <c r="I7" s="229">
        <f aca="true" t="shared" si="0" ref="I7:I43">(E7/G7)-1</f>
        <v>0.24518195669162268</v>
      </c>
      <c r="M7" s="27"/>
      <c r="N7" s="27"/>
      <c r="O7" s="27"/>
      <c r="P7" s="27"/>
    </row>
    <row r="8" spans="1:9" ht="13.5" customHeight="1">
      <c r="A8" s="61">
        <v>3</v>
      </c>
      <c r="B8" s="61"/>
      <c r="C8" s="82" t="s">
        <v>192</v>
      </c>
      <c r="D8" s="186"/>
      <c r="E8" s="27">
        <v>48084459.601</v>
      </c>
      <c r="F8" s="112"/>
      <c r="G8" s="27">
        <v>45578662.67</v>
      </c>
      <c r="H8" s="27"/>
      <c r="I8" s="229">
        <f t="shared" si="0"/>
        <v>0.054977412328715</v>
      </c>
    </row>
    <row r="9" spans="1:9" ht="13.5" customHeight="1">
      <c r="A9" s="61">
        <v>4</v>
      </c>
      <c r="B9" s="61"/>
      <c r="C9" s="82" t="s">
        <v>151</v>
      </c>
      <c r="D9" s="186"/>
      <c r="E9" s="27">
        <v>42083353.865</v>
      </c>
      <c r="F9" s="112"/>
      <c r="G9" s="27">
        <v>39546394.131</v>
      </c>
      <c r="H9" s="27"/>
      <c r="I9" s="229">
        <f t="shared" si="0"/>
        <v>0.06415148055208686</v>
      </c>
    </row>
    <row r="10" spans="1:9" ht="13.5" customHeight="1">
      <c r="A10" s="61">
        <v>5</v>
      </c>
      <c r="B10" s="61"/>
      <c r="C10" s="82" t="s">
        <v>149</v>
      </c>
      <c r="D10" s="186"/>
      <c r="E10" s="27">
        <v>41161795.553</v>
      </c>
      <c r="F10" s="112"/>
      <c r="G10" s="27">
        <v>38938962.862</v>
      </c>
      <c r="H10" s="27"/>
      <c r="I10" s="229">
        <f t="shared" si="0"/>
        <v>0.05708505126029517</v>
      </c>
    </row>
    <row r="11" spans="1:9" ht="13.5" customHeight="1">
      <c r="A11" s="61">
        <v>6</v>
      </c>
      <c r="B11" s="61"/>
      <c r="C11" s="82" t="s">
        <v>154</v>
      </c>
      <c r="D11" s="186"/>
      <c r="E11" s="27">
        <v>19504233.303000003</v>
      </c>
      <c r="F11" s="112"/>
      <c r="G11" s="27">
        <v>18733051.8</v>
      </c>
      <c r="H11" s="27"/>
      <c r="I11" s="229">
        <f t="shared" si="0"/>
        <v>0.0411668910775127</v>
      </c>
    </row>
    <row r="12" spans="1:9" ht="13.5" customHeight="1">
      <c r="A12" s="61">
        <v>7</v>
      </c>
      <c r="B12" s="61"/>
      <c r="C12" s="82" t="s">
        <v>153</v>
      </c>
      <c r="D12" s="186" t="s">
        <v>385</v>
      </c>
      <c r="E12" s="27">
        <v>19242728.761</v>
      </c>
      <c r="F12" s="112"/>
      <c r="G12" s="27">
        <v>17269921.972</v>
      </c>
      <c r="H12" s="27"/>
      <c r="I12" s="229">
        <f t="shared" si="0"/>
        <v>0.11423368282720348</v>
      </c>
    </row>
    <row r="13" spans="1:9" ht="13.5" customHeight="1">
      <c r="A13" s="61">
        <v>8</v>
      </c>
      <c r="B13" s="61"/>
      <c r="C13" s="82" t="s">
        <v>274</v>
      </c>
      <c r="D13" s="186"/>
      <c r="E13" s="228">
        <v>17598639.455000002</v>
      </c>
      <c r="F13" s="112"/>
      <c r="G13" s="27">
        <v>17152927.465</v>
      </c>
      <c r="H13" s="27"/>
      <c r="I13" s="229">
        <f t="shared" si="0"/>
        <v>0.025984601806861463</v>
      </c>
    </row>
    <row r="14" spans="1:9" ht="13.5" customHeight="1">
      <c r="A14" s="61">
        <v>9</v>
      </c>
      <c r="B14" s="61"/>
      <c r="C14" s="82" t="s">
        <v>239</v>
      </c>
      <c r="D14" s="186"/>
      <c r="E14" s="228">
        <v>16277232.524999999</v>
      </c>
      <c r="F14" s="112"/>
      <c r="G14" s="27">
        <v>14543967.708</v>
      </c>
      <c r="H14" s="27"/>
      <c r="I14" s="229">
        <f t="shared" si="0"/>
        <v>0.11917413815809041</v>
      </c>
    </row>
    <row r="15" spans="1:9" ht="13.5" customHeight="1">
      <c r="A15" s="61">
        <v>10</v>
      </c>
      <c r="B15" s="61"/>
      <c r="C15" s="82" t="s">
        <v>155</v>
      </c>
      <c r="D15" s="186"/>
      <c r="E15" s="228">
        <v>15604177.187999995</v>
      </c>
      <c r="F15" s="112"/>
      <c r="G15" s="27">
        <v>14568854.772</v>
      </c>
      <c r="H15" s="27"/>
      <c r="I15" s="229">
        <f t="shared" si="0"/>
        <v>0.07106409063736363</v>
      </c>
    </row>
    <row r="16" spans="1:9" ht="13.5" customHeight="1">
      <c r="A16" s="61">
        <v>11</v>
      </c>
      <c r="B16" s="61"/>
      <c r="C16" s="82" t="s">
        <v>157</v>
      </c>
      <c r="D16" s="186"/>
      <c r="E16" s="228">
        <v>13854583.112</v>
      </c>
      <c r="F16" s="112"/>
      <c r="G16" s="27">
        <v>13468985.357</v>
      </c>
      <c r="H16" s="27"/>
      <c r="I16" s="229">
        <f t="shared" si="0"/>
        <v>0.028628567392390725</v>
      </c>
    </row>
    <row r="17" spans="1:9" ht="13.5" customHeight="1">
      <c r="A17" s="61">
        <v>12</v>
      </c>
      <c r="B17" s="61"/>
      <c r="C17" s="82" t="s">
        <v>158</v>
      </c>
      <c r="D17" s="186"/>
      <c r="E17" s="228">
        <v>12238127.661999999</v>
      </c>
      <c r="F17" s="112"/>
      <c r="G17" s="27">
        <v>12158485.009</v>
      </c>
      <c r="H17" s="27"/>
      <c r="I17" s="229">
        <f t="shared" si="0"/>
        <v>0.0065503763783929525</v>
      </c>
    </row>
    <row r="18" spans="1:9" ht="13.5" customHeight="1">
      <c r="A18" s="61">
        <v>13</v>
      </c>
      <c r="B18" s="61"/>
      <c r="C18" s="82" t="s">
        <v>160</v>
      </c>
      <c r="D18" s="186"/>
      <c r="E18" s="228">
        <v>11742474</v>
      </c>
      <c r="F18" s="112"/>
      <c r="G18" s="27">
        <v>11378547.701</v>
      </c>
      <c r="H18" s="27"/>
      <c r="I18" s="229">
        <f t="shared" si="0"/>
        <v>0.03198354557743932</v>
      </c>
    </row>
    <row r="19" spans="1:9" ht="13.5" customHeight="1">
      <c r="A19" s="61">
        <v>14</v>
      </c>
      <c r="B19" s="61"/>
      <c r="C19" s="82" t="s">
        <v>156</v>
      </c>
      <c r="D19" s="186"/>
      <c r="E19" s="228">
        <v>11518068.324</v>
      </c>
      <c r="F19" s="112"/>
      <c r="G19" s="27">
        <v>11379958.215</v>
      </c>
      <c r="H19" s="27"/>
      <c r="I19" s="229">
        <f t="shared" si="0"/>
        <v>0.01213625800646212</v>
      </c>
    </row>
    <row r="20" spans="1:9" ht="13.5" customHeight="1">
      <c r="A20" s="61">
        <v>15</v>
      </c>
      <c r="B20" s="61"/>
      <c r="C20" s="82" t="s">
        <v>159</v>
      </c>
      <c r="D20" s="186" t="s">
        <v>385</v>
      </c>
      <c r="E20" s="228">
        <v>11013505.986999996</v>
      </c>
      <c r="F20" s="112"/>
      <c r="G20" s="27">
        <v>10656111.394</v>
      </c>
      <c r="H20" s="27"/>
      <c r="I20" s="229">
        <f t="shared" si="0"/>
        <v>0.03353893177216882</v>
      </c>
    </row>
    <row r="21" spans="1:9" ht="13.5" customHeight="1">
      <c r="A21" s="61">
        <v>16</v>
      </c>
      <c r="B21" s="61"/>
      <c r="C21" s="82" t="s">
        <v>282</v>
      </c>
      <c r="D21" s="186"/>
      <c r="E21" s="228">
        <v>10643354.852</v>
      </c>
      <c r="F21" s="112"/>
      <c r="G21" s="27">
        <v>10308089.395</v>
      </c>
      <c r="H21" s="27"/>
      <c r="I21" s="229">
        <f t="shared" si="0"/>
        <v>0.03252450033685417</v>
      </c>
    </row>
    <row r="22" spans="1:9" ht="13.5" customHeight="1">
      <c r="A22" s="61">
        <v>17</v>
      </c>
      <c r="B22" s="61"/>
      <c r="C22" s="82" t="s">
        <v>263</v>
      </c>
      <c r="D22" s="186"/>
      <c r="E22" s="228">
        <v>10045948.616</v>
      </c>
      <c r="F22" s="112"/>
      <c r="G22" s="27">
        <v>9454707.752</v>
      </c>
      <c r="H22" s="27"/>
      <c r="I22" s="229">
        <f t="shared" si="0"/>
        <v>0.06253401792085356</v>
      </c>
    </row>
    <row r="23" spans="1:9" ht="13.5" customHeight="1">
      <c r="A23" s="61">
        <v>18</v>
      </c>
      <c r="B23" s="61"/>
      <c r="C23" s="82" t="s">
        <v>162</v>
      </c>
      <c r="D23" s="186"/>
      <c r="E23" s="228">
        <v>8862556.575999998</v>
      </c>
      <c r="F23" s="112"/>
      <c r="G23" s="27">
        <v>7464141.726</v>
      </c>
      <c r="H23" s="27"/>
      <c r="I23" s="229">
        <f t="shared" si="0"/>
        <v>0.18735105807662666</v>
      </c>
    </row>
    <row r="24" spans="1:9" ht="13.5" customHeight="1">
      <c r="A24" s="61">
        <v>19</v>
      </c>
      <c r="B24" s="61"/>
      <c r="C24" s="82" t="s">
        <v>169</v>
      </c>
      <c r="D24" s="186"/>
      <c r="E24" s="228">
        <v>8503536.481</v>
      </c>
      <c r="F24" s="112"/>
      <c r="G24" s="27">
        <v>6617626.916</v>
      </c>
      <c r="H24" s="27"/>
      <c r="I24" s="229">
        <f t="shared" si="0"/>
        <v>0.28498275725400535</v>
      </c>
    </row>
    <row r="25" spans="1:9" ht="13.5" customHeight="1">
      <c r="A25" s="61">
        <v>20</v>
      </c>
      <c r="B25" s="61"/>
      <c r="C25" s="82" t="s">
        <v>194</v>
      </c>
      <c r="D25" s="186" t="s">
        <v>150</v>
      </c>
      <c r="E25" s="228">
        <v>7504773.403999999</v>
      </c>
      <c r="F25" s="112"/>
      <c r="G25" s="27">
        <v>6319783.056</v>
      </c>
      <c r="H25" s="27"/>
      <c r="I25" s="229">
        <f t="shared" si="0"/>
        <v>0.18750490918750295</v>
      </c>
    </row>
    <row r="26" spans="1:9" ht="13.5" customHeight="1">
      <c r="A26" s="61">
        <v>21</v>
      </c>
      <c r="B26" s="61"/>
      <c r="C26" s="82" t="s">
        <v>161</v>
      </c>
      <c r="D26" s="186"/>
      <c r="E26" s="228">
        <v>7189223.631000001</v>
      </c>
      <c r="F26" s="112"/>
      <c r="G26" s="27">
        <v>6900107.050999999</v>
      </c>
      <c r="H26" s="27"/>
      <c r="I26" s="229">
        <f t="shared" si="0"/>
        <v>0.04190030355516039</v>
      </c>
    </row>
    <row r="27" spans="1:9" ht="13.5" customHeight="1">
      <c r="A27" s="61">
        <v>22</v>
      </c>
      <c r="B27" s="61"/>
      <c r="C27" s="82" t="s">
        <v>264</v>
      </c>
      <c r="D27" s="186"/>
      <c r="E27" s="228">
        <v>6772942.002</v>
      </c>
      <c r="F27" s="112"/>
      <c r="G27" s="27">
        <v>6153905.3100000005</v>
      </c>
      <c r="H27" s="27"/>
      <c r="I27" s="229">
        <f t="shared" si="0"/>
        <v>0.10059249546691507</v>
      </c>
    </row>
    <row r="28" spans="1:9" ht="13.5" customHeight="1">
      <c r="A28" s="61">
        <v>23</v>
      </c>
      <c r="B28" s="61"/>
      <c r="C28" s="82" t="s">
        <v>182</v>
      </c>
      <c r="D28" s="186"/>
      <c r="E28" s="228">
        <v>6457411</v>
      </c>
      <c r="F28" s="112"/>
      <c r="G28" s="27">
        <v>5440357</v>
      </c>
      <c r="H28" s="27"/>
      <c r="I28" s="229">
        <f t="shared" si="0"/>
        <v>0.18694618753879566</v>
      </c>
    </row>
    <row r="29" spans="1:9" ht="13.5" customHeight="1">
      <c r="A29" s="61">
        <v>24</v>
      </c>
      <c r="B29" s="61"/>
      <c r="C29" s="82" t="s">
        <v>287</v>
      </c>
      <c r="D29" s="186"/>
      <c r="E29" s="228">
        <v>6070779.312</v>
      </c>
      <c r="F29" s="112"/>
      <c r="G29" s="27">
        <v>5978913.729</v>
      </c>
      <c r="H29" s="27"/>
      <c r="I29" s="229">
        <f t="shared" si="0"/>
        <v>0.015364928674989287</v>
      </c>
    </row>
    <row r="30" spans="1:9" ht="13.5" customHeight="1">
      <c r="A30" s="61">
        <v>25</v>
      </c>
      <c r="B30" s="61"/>
      <c r="C30" s="82" t="s">
        <v>278</v>
      </c>
      <c r="D30" s="186"/>
      <c r="E30" s="228">
        <v>5557691.871</v>
      </c>
      <c r="F30" s="112"/>
      <c r="G30" s="27">
        <v>5096100.049</v>
      </c>
      <c r="H30" s="27"/>
      <c r="I30" s="229">
        <f t="shared" si="0"/>
        <v>0.09057746464192329</v>
      </c>
    </row>
    <row r="31" spans="1:9" ht="13.5" customHeight="1">
      <c r="A31" s="61">
        <v>26</v>
      </c>
      <c r="B31" s="61"/>
      <c r="C31" s="82" t="s">
        <v>281</v>
      </c>
      <c r="D31" s="186"/>
      <c r="E31" s="228">
        <v>5212573.93</v>
      </c>
      <c r="F31" s="112"/>
      <c r="G31" s="27">
        <v>4935652.306</v>
      </c>
      <c r="H31" s="27"/>
      <c r="I31" s="229">
        <f t="shared" si="0"/>
        <v>0.05610638813908375</v>
      </c>
    </row>
    <row r="32" spans="1:9" ht="13.5" customHeight="1">
      <c r="A32" s="61">
        <v>27</v>
      </c>
      <c r="B32" s="61"/>
      <c r="C32" s="82" t="s">
        <v>180</v>
      </c>
      <c r="D32" s="186"/>
      <c r="E32" s="228">
        <v>4023612.5909999995</v>
      </c>
      <c r="F32" s="112"/>
      <c r="G32" s="27">
        <v>3322550.51</v>
      </c>
      <c r="H32" s="27"/>
      <c r="I32" s="229">
        <f t="shared" si="0"/>
        <v>0.2110011808368264</v>
      </c>
    </row>
    <row r="33" spans="1:9" ht="13.5" customHeight="1">
      <c r="A33" s="61">
        <v>28</v>
      </c>
      <c r="B33" s="61"/>
      <c r="C33" s="82" t="s">
        <v>164</v>
      </c>
      <c r="D33" s="186"/>
      <c r="E33" s="228">
        <v>3291736.781</v>
      </c>
      <c r="F33" s="112"/>
      <c r="G33" s="27">
        <v>3029798.1110000005</v>
      </c>
      <c r="H33" s="27"/>
      <c r="I33" s="229">
        <f t="shared" si="0"/>
        <v>0.08645416638455328</v>
      </c>
    </row>
    <row r="34" spans="1:9" ht="13.5" customHeight="1">
      <c r="A34" s="61">
        <v>29</v>
      </c>
      <c r="B34" s="61"/>
      <c r="C34" s="82" t="s">
        <v>168</v>
      </c>
      <c r="D34" s="186"/>
      <c r="E34" s="228">
        <v>3214727.503</v>
      </c>
      <c r="F34" s="112"/>
      <c r="G34" s="27">
        <v>2873725.847</v>
      </c>
      <c r="H34" s="27"/>
      <c r="I34" s="229">
        <f t="shared" si="0"/>
        <v>0.11866186064895001</v>
      </c>
    </row>
    <row r="35" spans="1:9" ht="13.5" customHeight="1">
      <c r="A35" s="61">
        <v>30</v>
      </c>
      <c r="B35" s="61"/>
      <c r="C35" s="82" t="s">
        <v>163</v>
      </c>
      <c r="D35" s="186"/>
      <c r="E35" s="228">
        <v>3100530.392</v>
      </c>
      <c r="F35" s="112"/>
      <c r="G35" s="27">
        <f>2843557.577</f>
        <v>2843557.577</v>
      </c>
      <c r="H35" s="27"/>
      <c r="I35" s="229">
        <f t="shared" si="0"/>
        <v>0.09037018173238831</v>
      </c>
    </row>
    <row r="36" spans="1:9" ht="13.5" customHeight="1">
      <c r="A36" s="61">
        <v>31</v>
      </c>
      <c r="B36" s="61"/>
      <c r="C36" s="82" t="s">
        <v>165</v>
      </c>
      <c r="D36" s="186" t="s">
        <v>150</v>
      </c>
      <c r="E36" s="228">
        <v>3006691.239</v>
      </c>
      <c r="F36" s="112"/>
      <c r="G36" s="27">
        <v>3004878.7060000002</v>
      </c>
      <c r="H36" s="27"/>
      <c r="I36" s="229">
        <f t="shared" si="0"/>
        <v>0.0006031967268365079</v>
      </c>
    </row>
    <row r="37" spans="1:9" ht="13.5" customHeight="1">
      <c r="A37" s="61">
        <v>32</v>
      </c>
      <c r="B37" s="61"/>
      <c r="C37" s="82" t="s">
        <v>166</v>
      </c>
      <c r="D37" s="186" t="s">
        <v>393</v>
      </c>
      <c r="E37" s="228">
        <v>2521492.9269999997</v>
      </c>
      <c r="F37" s="112"/>
      <c r="G37" s="27">
        <v>2734930.638</v>
      </c>
      <c r="H37" s="27"/>
      <c r="I37" s="229">
        <f t="shared" si="0"/>
        <v>-0.0780413616471396</v>
      </c>
    </row>
    <row r="38" spans="1:9" ht="13.5" customHeight="1">
      <c r="A38" s="61">
        <v>33</v>
      </c>
      <c r="B38" s="61"/>
      <c r="C38" s="82" t="s">
        <v>167</v>
      </c>
      <c r="D38" s="186" t="s">
        <v>150</v>
      </c>
      <c r="E38" s="228">
        <v>2370870.444</v>
      </c>
      <c r="F38" s="112"/>
      <c r="G38" s="27">
        <v>2533834.194</v>
      </c>
      <c r="H38" s="27"/>
      <c r="I38" s="229">
        <f t="shared" si="0"/>
        <v>-0.06431508043655365</v>
      </c>
    </row>
    <row r="39" spans="1:9" ht="13.5" customHeight="1">
      <c r="A39" s="61">
        <v>34</v>
      </c>
      <c r="B39" s="61"/>
      <c r="C39" s="82" t="s">
        <v>170</v>
      </c>
      <c r="D39" s="186" t="s">
        <v>152</v>
      </c>
      <c r="E39" s="228">
        <v>1993433.8839999998</v>
      </c>
      <c r="F39" s="112"/>
      <c r="G39" s="27">
        <v>1941745.286</v>
      </c>
      <c r="H39" s="27"/>
      <c r="I39" s="229">
        <f t="shared" si="0"/>
        <v>0.026619659320238798</v>
      </c>
    </row>
    <row r="40" spans="1:9" ht="13.5" customHeight="1">
      <c r="A40" s="61">
        <v>35</v>
      </c>
      <c r="B40" s="61"/>
      <c r="C40" s="82" t="s">
        <v>171</v>
      </c>
      <c r="D40" s="186"/>
      <c r="E40" s="228">
        <v>1977470.53</v>
      </c>
      <c r="F40" s="112"/>
      <c r="G40" s="27">
        <v>1969065.521</v>
      </c>
      <c r="H40" s="27"/>
      <c r="I40" s="229">
        <f t="shared" si="0"/>
        <v>0.004268526826741503</v>
      </c>
    </row>
    <row r="41" spans="1:9" ht="13.5" customHeight="1">
      <c r="A41" s="61">
        <v>36</v>
      </c>
      <c r="B41" s="61"/>
      <c r="C41" s="82" t="s">
        <v>172</v>
      </c>
      <c r="D41" s="186"/>
      <c r="E41" s="228">
        <v>1875175.0809999998</v>
      </c>
      <c r="F41" s="112"/>
      <c r="G41" s="27">
        <v>1645907.111</v>
      </c>
      <c r="H41" s="27"/>
      <c r="I41" s="229">
        <f t="shared" si="0"/>
        <v>0.13929581351690246</v>
      </c>
    </row>
    <row r="42" spans="1:9" ht="13.5" customHeight="1">
      <c r="A42" s="61">
        <v>37</v>
      </c>
      <c r="B42" s="61"/>
      <c r="C42" s="225" t="s">
        <v>279</v>
      </c>
      <c r="D42" s="187" t="s">
        <v>386</v>
      </c>
      <c r="E42" s="228">
        <v>1483263.403</v>
      </c>
      <c r="F42" s="27"/>
      <c r="G42" s="27">
        <v>575842.6259999999</v>
      </c>
      <c r="H42" s="27"/>
      <c r="I42" s="229">
        <f>(E42/G42)-1</f>
        <v>1.5758138352890882</v>
      </c>
    </row>
    <row r="43" spans="1:9" ht="13.5" customHeight="1">
      <c r="A43" s="61">
        <v>38</v>
      </c>
      <c r="B43" s="61"/>
      <c r="C43" s="82" t="s">
        <v>173</v>
      </c>
      <c r="D43" s="186" t="s">
        <v>152</v>
      </c>
      <c r="E43" s="228">
        <v>1438769.44</v>
      </c>
      <c r="F43" s="112"/>
      <c r="G43" s="27">
        <v>1508002.205</v>
      </c>
      <c r="H43" s="27"/>
      <c r="I43" s="229">
        <f t="shared" si="0"/>
        <v>-0.04591025448799002</v>
      </c>
    </row>
    <row r="45" ht="12.75">
      <c r="A45" s="61"/>
    </row>
    <row r="46" ht="12.75">
      <c r="A46" s="6" t="s">
        <v>565</v>
      </c>
    </row>
    <row r="47" spans="1:12" ht="12.75">
      <c r="A47" s="29" t="s">
        <v>566</v>
      </c>
      <c r="L47" s="6"/>
    </row>
    <row r="48" spans="1:12" ht="12.75">
      <c r="A48" s="29" t="s">
        <v>593</v>
      </c>
      <c r="L48" s="29"/>
    </row>
    <row r="49" spans="1:12" ht="12.75">
      <c r="A49" s="29" t="s">
        <v>571</v>
      </c>
      <c r="L49" s="29"/>
    </row>
    <row r="50" ht="12.75">
      <c r="A50" s="29" t="s">
        <v>572</v>
      </c>
    </row>
    <row r="54" spans="5:9" ht="13.5" customHeight="1">
      <c r="E54" s="56" t="s">
        <v>537</v>
      </c>
      <c r="F54" s="57"/>
      <c r="G54" s="56" t="s">
        <v>537</v>
      </c>
      <c r="H54" s="57"/>
      <c r="I54" s="58" t="s">
        <v>563</v>
      </c>
    </row>
    <row r="55" spans="3:9" ht="13.5" customHeight="1">
      <c r="C55" s="225" t="s">
        <v>137</v>
      </c>
      <c r="E55" s="59" t="s">
        <v>332</v>
      </c>
      <c r="F55" s="57"/>
      <c r="G55" s="59" t="s">
        <v>289</v>
      </c>
      <c r="H55" s="57"/>
      <c r="I55" s="60" t="s">
        <v>564</v>
      </c>
    </row>
    <row r="56" spans="5:9" ht="13.5" customHeight="1">
      <c r="E56" s="226" t="s">
        <v>534</v>
      </c>
      <c r="F56" s="227"/>
      <c r="G56" s="226" t="s">
        <v>534</v>
      </c>
      <c r="H56" s="227"/>
      <c r="I56" s="227" t="s">
        <v>147</v>
      </c>
    </row>
    <row r="57" spans="1:9" ht="9" customHeight="1">
      <c r="A57" s="61"/>
      <c r="B57" s="61"/>
      <c r="C57" s="82"/>
      <c r="D57" s="186"/>
      <c r="H57" s="82"/>
      <c r="I57" s="82"/>
    </row>
    <row r="58" spans="1:9" ht="13.5" customHeight="1">
      <c r="A58" s="61">
        <v>39</v>
      </c>
      <c r="B58" s="61"/>
      <c r="C58" s="82" t="s">
        <v>174</v>
      </c>
      <c r="D58" s="186" t="s">
        <v>150</v>
      </c>
      <c r="E58" s="228">
        <v>1349221.5779999997</v>
      </c>
      <c r="F58" s="112"/>
      <c r="G58" s="27">
        <v>1254878.1639999999</v>
      </c>
      <c r="H58" s="27"/>
      <c r="I58" s="229">
        <f>(E58/G58)-1</f>
        <v>0.07518133369957969</v>
      </c>
    </row>
    <row r="59" spans="1:9" ht="13.5" customHeight="1">
      <c r="A59" s="25">
        <v>40</v>
      </c>
      <c r="B59" s="61"/>
      <c r="C59" s="225" t="s">
        <v>240</v>
      </c>
      <c r="E59" s="228">
        <v>1310949.2810000002</v>
      </c>
      <c r="F59" s="27"/>
      <c r="G59" s="27">
        <v>1033815.554</v>
      </c>
      <c r="H59" s="27"/>
      <c r="I59" s="229">
        <f aca="true" t="shared" si="1" ref="I59:I75">(E59/G59)-1</f>
        <v>0.2680688309705972</v>
      </c>
    </row>
    <row r="60" spans="1:9" ht="13.5" customHeight="1">
      <c r="A60" s="61">
        <v>41</v>
      </c>
      <c r="B60" s="61"/>
      <c r="C60" s="225" t="s">
        <v>267</v>
      </c>
      <c r="D60" s="187" t="s">
        <v>150</v>
      </c>
      <c r="E60" s="228">
        <v>1251769.76</v>
      </c>
      <c r="F60" s="27"/>
      <c r="G60" s="27">
        <v>1144350.632</v>
      </c>
      <c r="H60" s="27"/>
      <c r="I60" s="229">
        <f t="shared" si="1"/>
        <v>0.09386906861952093</v>
      </c>
    </row>
    <row r="61" spans="1:9" ht="13.5" customHeight="1">
      <c r="A61" s="25">
        <v>42</v>
      </c>
      <c r="B61" s="61"/>
      <c r="C61" s="225" t="s">
        <v>288</v>
      </c>
      <c r="D61" s="187" t="s">
        <v>152</v>
      </c>
      <c r="E61" s="228">
        <v>1185731.7540000002</v>
      </c>
      <c r="F61" s="27"/>
      <c r="G61" s="27">
        <v>1158585.3490000002</v>
      </c>
      <c r="H61" s="27"/>
      <c r="I61" s="229">
        <f t="shared" si="1"/>
        <v>0.023430647576745844</v>
      </c>
    </row>
    <row r="62" spans="1:9" ht="13.5" customHeight="1">
      <c r="A62" s="61">
        <v>43</v>
      </c>
      <c r="B62" s="61"/>
      <c r="C62" s="225" t="s">
        <v>176</v>
      </c>
      <c r="E62" s="228">
        <v>1068011.868</v>
      </c>
      <c r="F62" s="27"/>
      <c r="G62" s="27">
        <v>1071768.286</v>
      </c>
      <c r="H62" s="27"/>
      <c r="I62" s="229">
        <f t="shared" si="1"/>
        <v>-0.003504878852144011</v>
      </c>
    </row>
    <row r="63" spans="1:9" ht="13.5" customHeight="1">
      <c r="A63" s="25">
        <v>44</v>
      </c>
      <c r="B63" s="61"/>
      <c r="C63" s="225" t="s">
        <v>175</v>
      </c>
      <c r="D63" s="187" t="s">
        <v>150</v>
      </c>
      <c r="E63" s="228">
        <v>1057372.815</v>
      </c>
      <c r="F63" s="27"/>
      <c r="G63" s="27">
        <v>986069.7</v>
      </c>
      <c r="H63" s="27"/>
      <c r="I63" s="229">
        <f t="shared" si="1"/>
        <v>0.07231042085564532</v>
      </c>
    </row>
    <row r="64" spans="1:9" ht="13.5" customHeight="1">
      <c r="A64" s="61">
        <v>45</v>
      </c>
      <c r="B64" s="61"/>
      <c r="C64" s="225" t="s">
        <v>178</v>
      </c>
      <c r="D64" s="187" t="s">
        <v>150</v>
      </c>
      <c r="E64" s="228">
        <v>766054.3920000001</v>
      </c>
      <c r="F64" s="27"/>
      <c r="G64" s="27">
        <v>712937.021</v>
      </c>
      <c r="H64" s="27"/>
      <c r="I64" s="229">
        <f t="shared" si="1"/>
        <v>0.07450499754591955</v>
      </c>
    </row>
    <row r="65" spans="1:9" ht="13.5" customHeight="1">
      <c r="A65" s="25">
        <v>46</v>
      </c>
      <c r="B65" s="61"/>
      <c r="C65" s="225" t="s">
        <v>177</v>
      </c>
      <c r="D65" s="187" t="s">
        <v>152</v>
      </c>
      <c r="E65" s="228">
        <v>637155.9360000001</v>
      </c>
      <c r="F65" s="27"/>
      <c r="G65" s="27">
        <v>663861.958</v>
      </c>
      <c r="H65" s="27"/>
      <c r="I65" s="229">
        <f t="shared" si="1"/>
        <v>-0.04022827589105482</v>
      </c>
    </row>
    <row r="66" spans="1:9" ht="13.5" customHeight="1">
      <c r="A66" s="61">
        <v>47</v>
      </c>
      <c r="B66" s="61"/>
      <c r="C66" s="225" t="s">
        <v>179</v>
      </c>
      <c r="D66" s="187" t="s">
        <v>152</v>
      </c>
      <c r="E66" s="228">
        <v>581733.557</v>
      </c>
      <c r="F66" s="27"/>
      <c r="G66" s="27">
        <v>573198.334</v>
      </c>
      <c r="H66" s="27"/>
      <c r="I66" s="229">
        <f t="shared" si="1"/>
        <v>0.014890523041890091</v>
      </c>
    </row>
    <row r="67" spans="1:9" ht="13.5" customHeight="1">
      <c r="A67" s="25">
        <v>48</v>
      </c>
      <c r="B67" s="61"/>
      <c r="C67" s="225" t="s">
        <v>261</v>
      </c>
      <c r="D67" s="187" t="s">
        <v>150</v>
      </c>
      <c r="E67" s="228">
        <v>467591.85500000004</v>
      </c>
      <c r="F67" s="27"/>
      <c r="G67" s="27">
        <v>448140.628</v>
      </c>
      <c r="H67" s="27"/>
      <c r="I67" s="229">
        <f t="shared" si="1"/>
        <v>0.043404292725720106</v>
      </c>
    </row>
    <row r="68" spans="1:9" ht="13.5" customHeight="1">
      <c r="A68" s="61">
        <v>49</v>
      </c>
      <c r="B68" s="61"/>
      <c r="C68" s="225" t="s">
        <v>268</v>
      </c>
      <c r="D68" s="187" t="s">
        <v>152</v>
      </c>
      <c r="E68" s="228">
        <v>447038.21</v>
      </c>
      <c r="F68" s="27"/>
      <c r="G68" s="27">
        <v>460896.326</v>
      </c>
      <c r="H68" s="27"/>
      <c r="I68" s="229">
        <f t="shared" si="1"/>
        <v>-0.03006775107163684</v>
      </c>
    </row>
    <row r="69" spans="1:9" ht="13.5" customHeight="1">
      <c r="A69" s="25">
        <v>50</v>
      </c>
      <c r="B69" s="61"/>
      <c r="C69" s="225" t="s">
        <v>181</v>
      </c>
      <c r="D69" s="187" t="s">
        <v>152</v>
      </c>
      <c r="E69" s="228">
        <v>417759.473</v>
      </c>
      <c r="F69" s="27"/>
      <c r="G69" s="27">
        <v>404826.634</v>
      </c>
      <c r="H69" s="27"/>
      <c r="I69" s="229">
        <f t="shared" si="1"/>
        <v>0.03194661100287188</v>
      </c>
    </row>
    <row r="70" spans="1:9" ht="13.5" customHeight="1">
      <c r="A70" s="61">
        <v>51</v>
      </c>
      <c r="B70" s="61"/>
      <c r="C70" s="225" t="s">
        <v>183</v>
      </c>
      <c r="D70" s="187" t="s">
        <v>150</v>
      </c>
      <c r="E70" s="228">
        <v>287199.532</v>
      </c>
      <c r="F70" s="27"/>
      <c r="G70" s="27">
        <v>271325.78</v>
      </c>
      <c r="H70" s="27"/>
      <c r="I70" s="229">
        <f t="shared" si="1"/>
        <v>0.0585044001347752</v>
      </c>
    </row>
    <row r="71" spans="1:9" ht="13.5" customHeight="1">
      <c r="A71" s="25">
        <v>52</v>
      </c>
      <c r="B71" s="61"/>
      <c r="C71" s="225" t="s">
        <v>185</v>
      </c>
      <c r="D71" s="187" t="s">
        <v>150</v>
      </c>
      <c r="E71" s="228">
        <v>165173.83800000002</v>
      </c>
      <c r="F71" s="27"/>
      <c r="G71" s="27">
        <v>163389.986</v>
      </c>
      <c r="H71" s="27"/>
      <c r="I71" s="229">
        <f t="shared" si="1"/>
        <v>0.010917756000052625</v>
      </c>
    </row>
    <row r="72" spans="1:9" ht="13.5" customHeight="1">
      <c r="A72" s="61">
        <v>53</v>
      </c>
      <c r="B72" s="61"/>
      <c r="C72" s="225" t="s">
        <v>184</v>
      </c>
      <c r="D72" s="187" t="s">
        <v>302</v>
      </c>
      <c r="E72" s="228">
        <v>109293.43900000001</v>
      </c>
      <c r="F72" s="27"/>
      <c r="G72" s="27">
        <v>134524.91599999997</v>
      </c>
      <c r="H72" s="27"/>
      <c r="I72" s="229">
        <f t="shared" si="1"/>
        <v>-0.18755987924199824</v>
      </c>
    </row>
    <row r="73" spans="1:9" ht="13.5" customHeight="1">
      <c r="A73" s="25">
        <v>54</v>
      </c>
      <c r="B73" s="61"/>
      <c r="C73" s="225" t="s">
        <v>186</v>
      </c>
      <c r="D73" s="187" t="s">
        <v>152</v>
      </c>
      <c r="E73" s="228">
        <v>84170.347</v>
      </c>
      <c r="F73" s="230"/>
      <c r="G73" s="230">
        <v>106532.07900000001</v>
      </c>
      <c r="H73" s="230"/>
      <c r="I73" s="229">
        <f t="shared" si="1"/>
        <v>-0.20990608847500303</v>
      </c>
    </row>
    <row r="74" spans="1:9" ht="13.5" customHeight="1">
      <c r="A74" s="61">
        <v>55</v>
      </c>
      <c r="B74" s="61"/>
      <c r="C74" s="225" t="s">
        <v>187</v>
      </c>
      <c r="D74" s="187" t="s">
        <v>150</v>
      </c>
      <c r="E74" s="228">
        <v>76119.492</v>
      </c>
      <c r="F74" s="27"/>
      <c r="G74" s="27">
        <v>88750.40299999999</v>
      </c>
      <c r="H74" s="27"/>
      <c r="I74" s="229">
        <f t="shared" si="1"/>
        <v>-0.14231947769296316</v>
      </c>
    </row>
    <row r="75" spans="1:9" ht="13.5" customHeight="1">
      <c r="A75" s="25">
        <v>56</v>
      </c>
      <c r="B75" s="61"/>
      <c r="C75" s="225" t="s">
        <v>188</v>
      </c>
      <c r="D75" s="187" t="s">
        <v>152</v>
      </c>
      <c r="E75" s="231">
        <v>8910.2</v>
      </c>
      <c r="F75" s="232"/>
      <c r="G75" s="232">
        <v>10213.533000000001</v>
      </c>
      <c r="H75" s="232"/>
      <c r="I75" s="233">
        <f t="shared" si="1"/>
        <v>-0.12760843872536565</v>
      </c>
    </row>
    <row r="76" spans="1:9" ht="15.75" customHeight="1">
      <c r="A76" s="225"/>
      <c r="B76" s="61"/>
      <c r="C76" s="7" t="s">
        <v>573</v>
      </c>
      <c r="E76" s="228">
        <f>+SUM(E6:E43)+SUM(E58:E75)</f>
        <v>566087852.6539998</v>
      </c>
      <c r="F76" s="27"/>
      <c r="G76" s="27">
        <f>SUM(G6:G75)</f>
        <v>517000205.3899999</v>
      </c>
      <c r="H76" s="27"/>
      <c r="I76" s="234">
        <f>(E76/G76)-1</f>
        <v>0.09494705563408923</v>
      </c>
    </row>
    <row r="77" ht="12" customHeight="1"/>
    <row r="78" spans="3:7" ht="12.75" hidden="1">
      <c r="C78" s="225" t="s">
        <v>381</v>
      </c>
      <c r="E78" s="228">
        <f>+'3.2 Chaneges'!CV68</f>
        <v>566087853.0939999</v>
      </c>
      <c r="G78" s="228">
        <f>+'3.2 Chaneges'!CV65</f>
        <v>517000205.39299995</v>
      </c>
    </row>
    <row r="79" spans="3:9" ht="12.75" customHeight="1" hidden="1">
      <c r="C79" s="7"/>
      <c r="E79" s="228">
        <f>+E76-E78</f>
        <v>-0.440000057220459</v>
      </c>
      <c r="G79" s="228">
        <f>+G76-G78</f>
        <v>-0.003000020980834961</v>
      </c>
      <c r="I79" s="235"/>
    </row>
    <row r="80" spans="3:9" ht="12.75" customHeight="1">
      <c r="C80" s="7"/>
      <c r="I80" s="235"/>
    </row>
    <row r="81" spans="3:9" ht="12.75" customHeight="1">
      <c r="C81" s="7"/>
      <c r="I81" s="235"/>
    </row>
    <row r="82" spans="3:9" ht="12.75" customHeight="1">
      <c r="C82" s="7"/>
      <c r="I82" s="235"/>
    </row>
    <row r="83" spans="3:9" ht="12.75" customHeight="1">
      <c r="C83" s="7"/>
      <c r="I83" s="235"/>
    </row>
    <row r="84" spans="3:60" ht="12.75" customHeight="1">
      <c r="C84" s="27"/>
      <c r="D84" s="23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</row>
    <row r="85" spans="3:9" ht="12.75" customHeight="1">
      <c r="C85" s="7"/>
      <c r="I85" s="235"/>
    </row>
    <row r="86" spans="3:9" ht="12.75" customHeight="1">
      <c r="C86" s="7"/>
      <c r="I86" s="235"/>
    </row>
    <row r="87" spans="3:9" ht="12.75" customHeight="1">
      <c r="C87" s="7"/>
      <c r="I87" s="235"/>
    </row>
    <row r="88" spans="3:9" ht="12.75" customHeight="1">
      <c r="C88" s="7"/>
      <c r="I88" s="235"/>
    </row>
    <row r="92" spans="3:9" ht="12.75" customHeight="1">
      <c r="C92" s="7"/>
      <c r="I92" s="235"/>
    </row>
    <row r="93" ht="12.75">
      <c r="C93" s="112"/>
    </row>
    <row r="94" ht="12.75">
      <c r="C94" s="112"/>
    </row>
    <row r="95" ht="12.75">
      <c r="A95" s="6" t="s">
        <v>565</v>
      </c>
    </row>
    <row r="96" spans="1:9" ht="12.75" customHeight="1">
      <c r="A96" s="29" t="s">
        <v>566</v>
      </c>
      <c r="I96" s="235"/>
    </row>
    <row r="97" spans="1:9" ht="12.75" customHeight="1">
      <c r="A97" s="29" t="s">
        <v>593</v>
      </c>
      <c r="I97" s="235"/>
    </row>
    <row r="98" spans="1:9" ht="12.75" customHeight="1">
      <c r="A98" s="29" t="s">
        <v>571</v>
      </c>
      <c r="I98" s="235"/>
    </row>
    <row r="99" ht="12.75">
      <c r="A99" s="29" t="s">
        <v>572</v>
      </c>
    </row>
  </sheetData>
  <printOptions/>
  <pageMargins left="0.5511811023622047" right="0.41" top="1.1811023622047245" bottom="0.3937007874015748" header="0.7086614173228347" footer="0.5511811023622047"/>
  <pageSetup firstPageNumber="7" useFirstPageNumber="1" orientation="portrait" paperSize="9" r:id="rId1"/>
  <headerFooter alignWithMargins="0">
    <oddHeader>&amp;C&amp;"Times New Roman,Bold"&amp;14 2.2. PENSION FUNDS LISTED BY NET ASSETS 31.12.2000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67"/>
  <sheetViews>
    <sheetView tabSelected="1" workbookViewId="0" topLeftCell="A55">
      <selection activeCell="E72" sqref="E72"/>
    </sheetView>
  </sheetViews>
  <sheetFormatPr defaultColWidth="9.00390625" defaultRowHeight="12.75"/>
  <cols>
    <col min="1" max="1" width="2.375" style="112" customWidth="1"/>
    <col min="2" max="2" width="2.00390625" style="112" customWidth="1"/>
    <col min="3" max="3" width="27.25390625" style="112" customWidth="1"/>
    <col min="4" max="4" width="10.25390625" style="112" customWidth="1"/>
    <col min="5" max="5" width="11.00390625" style="112" customWidth="1"/>
    <col min="6" max="6" width="11.125" style="112" customWidth="1"/>
    <col min="7" max="7" width="11.375" style="112" customWidth="1"/>
    <col min="8" max="8" width="13.00390625" style="112" customWidth="1"/>
    <col min="9" max="16384" width="9.00390625" style="112" customWidth="1"/>
  </cols>
  <sheetData>
    <row r="1" spans="4:8" ht="3" customHeight="1">
      <c r="D1" s="326"/>
      <c r="E1" s="326"/>
      <c r="F1" s="326"/>
      <c r="G1" s="326"/>
      <c r="H1" s="56"/>
    </row>
    <row r="2" spans="1:8" ht="12" customHeight="1">
      <c r="A2" s="61"/>
      <c r="B2" s="61"/>
      <c r="C2" s="82"/>
      <c r="D2" s="327" t="s">
        <v>537</v>
      </c>
      <c r="E2" s="327" t="s">
        <v>538</v>
      </c>
      <c r="F2" s="327" t="s">
        <v>539</v>
      </c>
      <c r="G2" s="327" t="s">
        <v>540</v>
      </c>
      <c r="H2" s="327" t="s">
        <v>594</v>
      </c>
    </row>
    <row r="3" spans="1:8" ht="11.25" customHeight="1">
      <c r="A3" s="61"/>
      <c r="B3" s="61"/>
      <c r="C3" s="193" t="s">
        <v>397</v>
      </c>
      <c r="D3" s="330" t="s">
        <v>332</v>
      </c>
      <c r="E3" s="327" t="s">
        <v>541</v>
      </c>
      <c r="F3" s="327" t="s">
        <v>541</v>
      </c>
      <c r="G3" s="327" t="s">
        <v>542</v>
      </c>
      <c r="H3" s="327" t="s">
        <v>608</v>
      </c>
    </row>
    <row r="4" spans="1:8" ht="4.5" customHeight="1">
      <c r="A4" s="61"/>
      <c r="B4" s="61"/>
      <c r="C4" s="82"/>
      <c r="D4" s="228"/>
      <c r="E4" s="228"/>
      <c r="F4" s="228"/>
      <c r="G4" s="228"/>
      <c r="H4" s="228"/>
    </row>
    <row r="5" spans="1:9" s="96" customFormat="1" ht="11.25" customHeight="1">
      <c r="A5" s="104">
        <v>1</v>
      </c>
      <c r="B5" s="105"/>
      <c r="C5" s="106" t="s">
        <v>148</v>
      </c>
      <c r="D5" s="236">
        <v>85686756.101</v>
      </c>
      <c r="E5" s="236">
        <f>D5-H5</f>
        <v>85335946.27</v>
      </c>
      <c r="F5" s="236"/>
      <c r="G5" s="236"/>
      <c r="H5" s="236">
        <v>350809.831</v>
      </c>
      <c r="I5" s="236"/>
    </row>
    <row r="6" spans="1:9" s="96" customFormat="1" ht="11.25" customHeight="1">
      <c r="A6" s="104">
        <v>2</v>
      </c>
      <c r="B6" s="105"/>
      <c r="C6" s="106" t="s">
        <v>306</v>
      </c>
      <c r="D6" s="236">
        <v>76087894</v>
      </c>
      <c r="E6" s="236">
        <f>D6-H6-F6-G6</f>
        <v>12477373</v>
      </c>
      <c r="F6" s="236">
        <v>63168159</v>
      </c>
      <c r="G6" s="236"/>
      <c r="H6" s="236">
        <v>442362</v>
      </c>
      <c r="I6" s="236"/>
    </row>
    <row r="7" spans="1:9" s="96" customFormat="1" ht="11.25" customHeight="1">
      <c r="A7" s="104">
        <v>3</v>
      </c>
      <c r="B7" s="105"/>
      <c r="C7" s="106" t="s">
        <v>192</v>
      </c>
      <c r="D7" s="236">
        <v>48084459.601</v>
      </c>
      <c r="E7" s="236">
        <f>D7-H7</f>
        <v>48043572.766</v>
      </c>
      <c r="F7" s="236"/>
      <c r="G7" s="236"/>
      <c r="H7" s="236">
        <v>40886.83500000001</v>
      </c>
      <c r="I7" s="236"/>
    </row>
    <row r="8" spans="1:9" s="96" customFormat="1" ht="11.25" customHeight="1">
      <c r="A8" s="104">
        <v>4</v>
      </c>
      <c r="B8" s="105"/>
      <c r="C8" s="106" t="s">
        <v>151</v>
      </c>
      <c r="D8" s="236">
        <v>42083354</v>
      </c>
      <c r="E8" s="236">
        <f>D8-H8-G8</f>
        <v>41926041.548</v>
      </c>
      <c r="F8" s="236"/>
      <c r="G8" s="236">
        <v>106833.711</v>
      </c>
      <c r="H8" s="236">
        <v>50478.741</v>
      </c>
      <c r="I8" s="236"/>
    </row>
    <row r="9" spans="1:9" s="96" customFormat="1" ht="11.25" customHeight="1">
      <c r="A9" s="104">
        <v>5</v>
      </c>
      <c r="B9" s="105"/>
      <c r="C9" s="106" t="s">
        <v>149</v>
      </c>
      <c r="D9" s="236">
        <v>41161795.553</v>
      </c>
      <c r="E9" s="236">
        <f>D9-H9</f>
        <v>41158266.669</v>
      </c>
      <c r="F9" s="236"/>
      <c r="G9" s="236"/>
      <c r="H9" s="236">
        <v>3528.884</v>
      </c>
      <c r="I9" s="236"/>
    </row>
    <row r="10" spans="1:9" s="96" customFormat="1" ht="11.25" customHeight="1">
      <c r="A10" s="104">
        <v>6</v>
      </c>
      <c r="B10" s="105"/>
      <c r="C10" s="106" t="s">
        <v>154</v>
      </c>
      <c r="D10" s="236">
        <v>19504233.303000003</v>
      </c>
      <c r="E10" s="236">
        <f>D10-H10-F10-G10</f>
        <v>19423416.607000005</v>
      </c>
      <c r="F10" s="236"/>
      <c r="G10" s="236"/>
      <c r="H10" s="236">
        <v>80816.696</v>
      </c>
      <c r="I10" s="236"/>
    </row>
    <row r="11" spans="1:9" s="96" customFormat="1" ht="11.25" customHeight="1">
      <c r="A11" s="104">
        <v>7</v>
      </c>
      <c r="B11" s="105"/>
      <c r="C11" s="106" t="s">
        <v>153</v>
      </c>
      <c r="D11" s="236">
        <v>19242728.761</v>
      </c>
      <c r="E11" s="236">
        <f aca="true" t="shared" si="0" ref="E11:E60">D11-H11-F11-G11</f>
        <v>19223122.707</v>
      </c>
      <c r="F11" s="236"/>
      <c r="G11" s="236"/>
      <c r="H11" s="236">
        <v>19606.054</v>
      </c>
      <c r="I11" s="236"/>
    </row>
    <row r="12" spans="1:9" s="96" customFormat="1" ht="11.25" customHeight="1">
      <c r="A12" s="104">
        <v>8</v>
      </c>
      <c r="B12" s="105"/>
      <c r="C12" s="106" t="s">
        <v>274</v>
      </c>
      <c r="D12" s="236">
        <v>17598639.455000002</v>
      </c>
      <c r="E12" s="236">
        <f t="shared" si="0"/>
        <v>2498043.455000002</v>
      </c>
      <c r="F12" s="236">
        <v>15100596</v>
      </c>
      <c r="G12" s="236"/>
      <c r="H12" s="236"/>
      <c r="I12" s="236"/>
    </row>
    <row r="13" spans="1:9" s="96" customFormat="1" ht="11.25" customHeight="1">
      <c r="A13" s="104">
        <v>9</v>
      </c>
      <c r="B13" s="105"/>
      <c r="C13" s="106" t="s">
        <v>239</v>
      </c>
      <c r="D13" s="236">
        <v>16277232.524999999</v>
      </c>
      <c r="E13" s="236">
        <f>D13-H13-F13-G13</f>
        <v>16212998.018</v>
      </c>
      <c r="F13" s="236"/>
      <c r="G13" s="236"/>
      <c r="H13" s="236">
        <v>64234.507</v>
      </c>
      <c r="I13" s="236"/>
    </row>
    <row r="14" spans="1:9" s="96" customFormat="1" ht="11.25" customHeight="1">
      <c r="A14" s="104">
        <v>10</v>
      </c>
      <c r="B14" s="105"/>
      <c r="C14" s="106" t="s">
        <v>155</v>
      </c>
      <c r="D14" s="236">
        <v>15604177.187999995</v>
      </c>
      <c r="E14" s="236">
        <f t="shared" si="0"/>
        <v>14682134.547999997</v>
      </c>
      <c r="F14" s="236"/>
      <c r="G14" s="236">
        <v>394270.77</v>
      </c>
      <c r="H14" s="236">
        <v>527771.87</v>
      </c>
      <c r="I14" s="236"/>
    </row>
    <row r="15" spans="1:9" s="96" customFormat="1" ht="11.25" customHeight="1">
      <c r="A15" s="104">
        <v>11</v>
      </c>
      <c r="B15" s="105"/>
      <c r="C15" s="106" t="s">
        <v>157</v>
      </c>
      <c r="D15" s="236">
        <v>13854583.112</v>
      </c>
      <c r="E15" s="236">
        <f t="shared" si="0"/>
        <v>13854583.112</v>
      </c>
      <c r="F15" s="236"/>
      <c r="G15" s="236"/>
      <c r="H15" s="236"/>
      <c r="I15" s="236"/>
    </row>
    <row r="16" spans="1:9" s="96" customFormat="1" ht="11.25" customHeight="1">
      <c r="A16" s="104">
        <v>12</v>
      </c>
      <c r="B16" s="105"/>
      <c r="C16" s="106" t="s">
        <v>158</v>
      </c>
      <c r="D16" s="236">
        <v>12238127.661999999</v>
      </c>
      <c r="E16" s="236">
        <f t="shared" si="0"/>
        <v>12233320.327999998</v>
      </c>
      <c r="F16" s="236"/>
      <c r="G16" s="236"/>
      <c r="H16" s="236">
        <v>4807.334</v>
      </c>
      <c r="I16" s="236"/>
    </row>
    <row r="17" spans="1:9" s="96" customFormat="1" ht="11.25" customHeight="1">
      <c r="A17" s="104">
        <v>13</v>
      </c>
      <c r="B17" s="105"/>
      <c r="C17" s="106" t="s">
        <v>160</v>
      </c>
      <c r="D17" s="236">
        <v>11742474</v>
      </c>
      <c r="E17" s="236">
        <f t="shared" si="0"/>
        <v>0</v>
      </c>
      <c r="F17" s="236"/>
      <c r="G17" s="236">
        <f>D17-H17</f>
        <v>11742474</v>
      </c>
      <c r="H17" s="236"/>
      <c r="I17" s="236"/>
    </row>
    <row r="18" spans="1:9" s="96" customFormat="1" ht="11.25" customHeight="1">
      <c r="A18" s="104">
        <v>14</v>
      </c>
      <c r="B18" s="105"/>
      <c r="C18" s="106" t="s">
        <v>156</v>
      </c>
      <c r="D18" s="236">
        <v>11518068.324</v>
      </c>
      <c r="E18" s="236">
        <f t="shared" si="0"/>
        <v>11518068.324</v>
      </c>
      <c r="F18" s="236"/>
      <c r="G18" s="236"/>
      <c r="H18" s="236"/>
      <c r="I18" s="236"/>
    </row>
    <row r="19" spans="1:9" s="96" customFormat="1" ht="11.25" customHeight="1">
      <c r="A19" s="104">
        <v>15</v>
      </c>
      <c r="B19" s="105"/>
      <c r="C19" s="106" t="s">
        <v>159</v>
      </c>
      <c r="D19" s="236">
        <v>11013505.986999996</v>
      </c>
      <c r="E19" s="236">
        <f t="shared" si="0"/>
        <v>11013505.986999996</v>
      </c>
      <c r="F19" s="236"/>
      <c r="G19" s="236"/>
      <c r="H19" s="236"/>
      <c r="I19" s="236"/>
    </row>
    <row r="20" spans="1:9" s="96" customFormat="1" ht="11.25" customHeight="1">
      <c r="A20" s="104">
        <v>16</v>
      </c>
      <c r="B20" s="105"/>
      <c r="C20" s="106" t="s">
        <v>282</v>
      </c>
      <c r="D20" s="236">
        <v>10643354.852</v>
      </c>
      <c r="E20" s="236">
        <f t="shared" si="0"/>
        <v>0</v>
      </c>
      <c r="F20" s="236"/>
      <c r="G20" s="236">
        <f>D20-H20</f>
        <v>10558491.403</v>
      </c>
      <c r="H20" s="236">
        <v>84863.449</v>
      </c>
      <c r="I20" s="236"/>
    </row>
    <row r="21" spans="1:9" s="96" customFormat="1" ht="11.25" customHeight="1">
      <c r="A21" s="104">
        <v>17</v>
      </c>
      <c r="B21" s="105"/>
      <c r="C21" s="106" t="s">
        <v>263</v>
      </c>
      <c r="D21" s="236">
        <v>10045948.616</v>
      </c>
      <c r="E21" s="236">
        <f t="shared" si="0"/>
        <v>10042024.747</v>
      </c>
      <c r="F21" s="236"/>
      <c r="G21" s="236"/>
      <c r="H21" s="236">
        <v>3923.869</v>
      </c>
      <c r="I21" s="236"/>
    </row>
    <row r="22" spans="1:9" s="96" customFormat="1" ht="11.25" customHeight="1">
      <c r="A22" s="104">
        <v>18</v>
      </c>
      <c r="B22" s="105"/>
      <c r="C22" s="106" t="s">
        <v>162</v>
      </c>
      <c r="D22" s="236">
        <v>8862556.575999998</v>
      </c>
      <c r="E22" s="236">
        <f t="shared" si="0"/>
        <v>0</v>
      </c>
      <c r="F22" s="236"/>
      <c r="G22" s="236">
        <f>D22-H22</f>
        <v>488290.57599999756</v>
      </c>
      <c r="H22" s="236">
        <v>8374266</v>
      </c>
      <c r="I22" s="236"/>
    </row>
    <row r="23" spans="1:9" s="96" customFormat="1" ht="11.25" customHeight="1">
      <c r="A23" s="104">
        <v>19</v>
      </c>
      <c r="B23" s="105"/>
      <c r="C23" s="106" t="s">
        <v>169</v>
      </c>
      <c r="D23" s="236">
        <v>8503536.481</v>
      </c>
      <c r="E23" s="236">
        <f t="shared" si="0"/>
        <v>0</v>
      </c>
      <c r="F23" s="236"/>
      <c r="G23" s="236">
        <f>D23-H23</f>
        <v>741531.4810000006</v>
      </c>
      <c r="H23" s="236">
        <v>7762005</v>
      </c>
      <c r="I23" s="236"/>
    </row>
    <row r="24" spans="1:9" s="96" customFormat="1" ht="11.25" customHeight="1">
      <c r="A24" s="104">
        <v>20</v>
      </c>
      <c r="B24" s="105"/>
      <c r="C24" s="106" t="s">
        <v>194</v>
      </c>
      <c r="D24" s="236">
        <v>7504773.403999999</v>
      </c>
      <c r="E24" s="236">
        <f t="shared" si="0"/>
        <v>0</v>
      </c>
      <c r="F24" s="236">
        <f>D24</f>
        <v>7504773.403999999</v>
      </c>
      <c r="G24" s="236"/>
      <c r="H24" s="236"/>
      <c r="I24" s="236"/>
    </row>
    <row r="25" spans="1:9" s="96" customFormat="1" ht="11.25" customHeight="1">
      <c r="A25" s="104">
        <v>21</v>
      </c>
      <c r="B25" s="105"/>
      <c r="C25" s="106" t="s">
        <v>161</v>
      </c>
      <c r="D25" s="236">
        <v>7189223.631000001</v>
      </c>
      <c r="E25" s="236">
        <f t="shared" si="0"/>
        <v>7186802.048000001</v>
      </c>
      <c r="F25" s="236"/>
      <c r="G25" s="236"/>
      <c r="H25" s="236">
        <v>2421.583</v>
      </c>
      <c r="I25" s="236"/>
    </row>
    <row r="26" spans="1:9" s="96" customFormat="1" ht="11.25" customHeight="1">
      <c r="A26" s="104">
        <v>22</v>
      </c>
      <c r="B26" s="105"/>
      <c r="C26" s="106" t="s">
        <v>264</v>
      </c>
      <c r="D26" s="236">
        <v>6772942.002</v>
      </c>
      <c r="E26" s="236">
        <f t="shared" si="0"/>
        <v>6769995.661</v>
      </c>
      <c r="F26" s="236"/>
      <c r="G26" s="236"/>
      <c r="H26" s="236">
        <v>2946.341</v>
      </c>
      <c r="I26" s="236"/>
    </row>
    <row r="27" spans="1:9" s="96" customFormat="1" ht="11.25" customHeight="1">
      <c r="A27" s="104">
        <v>23</v>
      </c>
      <c r="B27" s="105"/>
      <c r="C27" s="106" t="s">
        <v>182</v>
      </c>
      <c r="D27" s="236">
        <v>6457411</v>
      </c>
      <c r="E27" s="236">
        <f t="shared" si="0"/>
        <v>0</v>
      </c>
      <c r="F27" s="236"/>
      <c r="G27" s="236">
        <f>D27-H27</f>
        <v>325080</v>
      </c>
      <c r="H27" s="236">
        <v>6132331</v>
      </c>
      <c r="I27" s="236"/>
    </row>
    <row r="28" spans="1:9" s="96" customFormat="1" ht="11.25" customHeight="1">
      <c r="A28" s="104">
        <v>24</v>
      </c>
      <c r="B28" s="105"/>
      <c r="C28" s="106" t="s">
        <v>313</v>
      </c>
      <c r="D28" s="236">
        <v>6070779.312</v>
      </c>
      <c r="E28" s="236">
        <f t="shared" si="0"/>
        <v>0</v>
      </c>
      <c r="F28" s="236">
        <f>D28</f>
        <v>6070779.312</v>
      </c>
      <c r="G28" s="236"/>
      <c r="H28" s="236"/>
      <c r="I28" s="236"/>
    </row>
    <row r="29" spans="1:9" s="96" customFormat="1" ht="11.25" customHeight="1">
      <c r="A29" s="104">
        <v>25</v>
      </c>
      <c r="B29" s="105"/>
      <c r="C29" s="106" t="s">
        <v>314</v>
      </c>
      <c r="D29" s="236">
        <v>5557691.871</v>
      </c>
      <c r="E29" s="236">
        <f t="shared" si="0"/>
        <v>0</v>
      </c>
      <c r="F29" s="236"/>
      <c r="G29" s="236">
        <f>D29-H29</f>
        <v>895694.2939999998</v>
      </c>
      <c r="H29" s="236">
        <v>4661997.5770000005</v>
      </c>
      <c r="I29" s="236"/>
    </row>
    <row r="30" spans="1:9" s="96" customFormat="1" ht="11.25" customHeight="1">
      <c r="A30" s="104">
        <v>26</v>
      </c>
      <c r="B30" s="105"/>
      <c r="C30" s="106" t="s">
        <v>281</v>
      </c>
      <c r="D30" s="236">
        <v>5212573.93</v>
      </c>
      <c r="E30" s="236">
        <f t="shared" si="0"/>
        <v>5212573.93</v>
      </c>
      <c r="F30" s="236"/>
      <c r="G30" s="236"/>
      <c r="H30" s="236"/>
      <c r="I30" s="236"/>
    </row>
    <row r="31" spans="1:9" s="96" customFormat="1" ht="11.25" customHeight="1">
      <c r="A31" s="104">
        <v>27</v>
      </c>
      <c r="B31" s="105"/>
      <c r="C31" s="106" t="s">
        <v>180</v>
      </c>
      <c r="D31" s="236">
        <v>4023612.5909999995</v>
      </c>
      <c r="E31" s="236">
        <f t="shared" si="0"/>
        <v>0</v>
      </c>
      <c r="F31" s="236"/>
      <c r="G31" s="236">
        <f>D31-H31</f>
        <v>127354.33299999963</v>
      </c>
      <c r="H31" s="236">
        <v>3896258.258</v>
      </c>
      <c r="I31" s="236"/>
    </row>
    <row r="32" spans="1:9" s="96" customFormat="1" ht="11.25" customHeight="1">
      <c r="A32" s="104">
        <v>28</v>
      </c>
      <c r="B32" s="105"/>
      <c r="C32" s="106" t="s">
        <v>315</v>
      </c>
      <c r="D32" s="236">
        <v>3291736.781</v>
      </c>
      <c r="E32" s="236">
        <f t="shared" si="0"/>
        <v>3290820.139</v>
      </c>
      <c r="F32" s="236"/>
      <c r="G32" s="236"/>
      <c r="H32" s="236">
        <v>916.642</v>
      </c>
      <c r="I32" s="236"/>
    </row>
    <row r="33" spans="1:9" s="96" customFormat="1" ht="11.25" customHeight="1">
      <c r="A33" s="104">
        <v>29</v>
      </c>
      <c r="B33" s="105"/>
      <c r="C33" s="106" t="s">
        <v>168</v>
      </c>
      <c r="D33" s="236">
        <v>3214727.503</v>
      </c>
      <c r="E33" s="236">
        <f t="shared" si="0"/>
        <v>3156794.958</v>
      </c>
      <c r="F33" s="236"/>
      <c r="G33" s="236"/>
      <c r="H33" s="236">
        <v>57932.545</v>
      </c>
      <c r="I33" s="236"/>
    </row>
    <row r="34" spans="1:9" s="96" customFormat="1" ht="11.25" customHeight="1">
      <c r="A34" s="104">
        <v>30</v>
      </c>
      <c r="B34" s="105"/>
      <c r="C34" s="106" t="s">
        <v>163</v>
      </c>
      <c r="D34" s="236">
        <v>3100530.392</v>
      </c>
      <c r="E34" s="236">
        <f t="shared" si="0"/>
        <v>3055985.033</v>
      </c>
      <c r="F34" s="236"/>
      <c r="G34" s="236"/>
      <c r="H34" s="236">
        <v>44545.359</v>
      </c>
      <c r="I34" s="236"/>
    </row>
    <row r="35" spans="1:9" s="96" customFormat="1" ht="11.25" customHeight="1">
      <c r="A35" s="104">
        <v>31</v>
      </c>
      <c r="B35" s="105"/>
      <c r="C35" s="106" t="s">
        <v>316</v>
      </c>
      <c r="D35" s="236">
        <v>3006691.239</v>
      </c>
      <c r="E35" s="236">
        <f t="shared" si="0"/>
        <v>0</v>
      </c>
      <c r="F35" s="236">
        <f>D35</f>
        <v>3006691.239</v>
      </c>
      <c r="G35" s="236"/>
      <c r="H35" s="236"/>
      <c r="I35" s="236"/>
    </row>
    <row r="36" spans="1:9" s="96" customFormat="1" ht="11.25" customHeight="1">
      <c r="A36" s="104">
        <v>32</v>
      </c>
      <c r="B36" s="105"/>
      <c r="C36" s="106" t="s">
        <v>317</v>
      </c>
      <c r="D36" s="236">
        <v>2521492.9269999997</v>
      </c>
      <c r="E36" s="236">
        <f t="shared" si="0"/>
        <v>2521492.9269999997</v>
      </c>
      <c r="F36" s="236"/>
      <c r="G36" s="236"/>
      <c r="H36" s="236"/>
      <c r="I36" s="236"/>
    </row>
    <row r="37" spans="1:9" s="96" customFormat="1" ht="11.25" customHeight="1">
      <c r="A37" s="104">
        <v>33</v>
      </c>
      <c r="B37" s="105"/>
      <c r="C37" s="106" t="s">
        <v>318</v>
      </c>
      <c r="D37" s="236">
        <v>2370870.444</v>
      </c>
      <c r="E37" s="236">
        <f t="shared" si="0"/>
        <v>0</v>
      </c>
      <c r="F37" s="236">
        <f>D37</f>
        <v>2370870.444</v>
      </c>
      <c r="G37" s="236"/>
      <c r="H37" s="236"/>
      <c r="I37" s="236"/>
    </row>
    <row r="38" spans="1:9" s="96" customFormat="1" ht="11.25" customHeight="1">
      <c r="A38" s="104">
        <v>34</v>
      </c>
      <c r="B38" s="105"/>
      <c r="C38" s="106" t="s">
        <v>170</v>
      </c>
      <c r="D38" s="236">
        <v>1993433.8839999998</v>
      </c>
      <c r="E38" s="236">
        <f t="shared" si="0"/>
        <v>1993433.8839999998</v>
      </c>
      <c r="F38" s="236"/>
      <c r="G38" s="236"/>
      <c r="H38" s="236"/>
      <c r="I38" s="236"/>
    </row>
    <row r="39" spans="1:9" s="96" customFormat="1" ht="11.25" customHeight="1">
      <c r="A39" s="104">
        <v>35</v>
      </c>
      <c r="B39" s="105"/>
      <c r="C39" s="106" t="s">
        <v>171</v>
      </c>
      <c r="D39" s="236">
        <v>1977470.53</v>
      </c>
      <c r="E39" s="236">
        <f t="shared" si="0"/>
        <v>1977470.53</v>
      </c>
      <c r="F39" s="236"/>
      <c r="G39" s="236"/>
      <c r="H39" s="236"/>
      <c r="I39" s="236"/>
    </row>
    <row r="40" spans="1:9" s="96" customFormat="1" ht="11.25" customHeight="1">
      <c r="A40" s="104">
        <v>36</v>
      </c>
      <c r="B40" s="105"/>
      <c r="C40" s="106" t="s">
        <v>172</v>
      </c>
      <c r="D40" s="236">
        <v>1875175.0809999998</v>
      </c>
      <c r="E40" s="236">
        <f t="shared" si="0"/>
        <v>1875175.0809999998</v>
      </c>
      <c r="F40" s="236"/>
      <c r="G40" s="236"/>
      <c r="H40" s="236"/>
      <c r="I40" s="236"/>
    </row>
    <row r="41" spans="1:9" s="96" customFormat="1" ht="11.25" customHeight="1">
      <c r="A41" s="104">
        <v>37</v>
      </c>
      <c r="B41" s="107"/>
      <c r="C41" s="108" t="s">
        <v>323</v>
      </c>
      <c r="D41" s="236">
        <v>1483263.403</v>
      </c>
      <c r="E41" s="236">
        <f t="shared" si="0"/>
        <v>0</v>
      </c>
      <c r="F41" s="236">
        <f>+D41-G41-H41</f>
        <v>1309266.5709999998</v>
      </c>
      <c r="G41" s="236">
        <v>154429.816</v>
      </c>
      <c r="H41" s="236">
        <v>19567.016</v>
      </c>
      <c r="I41" s="236"/>
    </row>
    <row r="42" spans="1:9" s="96" customFormat="1" ht="11.25" customHeight="1">
      <c r="A42" s="104">
        <v>38</v>
      </c>
      <c r="B42" s="105"/>
      <c r="C42" s="106" t="s">
        <v>319</v>
      </c>
      <c r="D42" s="236">
        <v>1438769.44</v>
      </c>
      <c r="E42" s="236">
        <f t="shared" si="0"/>
        <v>1438769.44</v>
      </c>
      <c r="F42" s="236"/>
      <c r="G42" s="236"/>
      <c r="H42" s="236"/>
      <c r="I42" s="236"/>
    </row>
    <row r="43" spans="1:9" s="96" customFormat="1" ht="11.25" customHeight="1">
      <c r="A43" s="104">
        <v>39</v>
      </c>
      <c r="B43" s="105"/>
      <c r="C43" s="106" t="s">
        <v>320</v>
      </c>
      <c r="D43" s="236">
        <v>1349221.5779999997</v>
      </c>
      <c r="E43" s="236">
        <f t="shared" si="0"/>
        <v>0</v>
      </c>
      <c r="F43" s="236">
        <f>D43</f>
        <v>1349221.5779999997</v>
      </c>
      <c r="G43" s="236"/>
      <c r="H43" s="236"/>
      <c r="I43" s="236"/>
    </row>
    <row r="44" spans="1:9" s="96" customFormat="1" ht="11.25" customHeight="1">
      <c r="A44" s="104">
        <v>40</v>
      </c>
      <c r="B44" s="107"/>
      <c r="C44" s="108" t="s">
        <v>240</v>
      </c>
      <c r="D44" s="236">
        <v>1310949.2810000002</v>
      </c>
      <c r="E44" s="236">
        <f t="shared" si="0"/>
        <v>0.32100000022910535</v>
      </c>
      <c r="F44" s="236"/>
      <c r="G44" s="236">
        <v>79439</v>
      </c>
      <c r="H44" s="236">
        <v>1231509.96</v>
      </c>
      <c r="I44" s="236"/>
    </row>
    <row r="45" spans="1:9" s="96" customFormat="1" ht="11.25" customHeight="1">
      <c r="A45" s="104">
        <v>41</v>
      </c>
      <c r="B45" s="107"/>
      <c r="C45" s="108" t="s">
        <v>321</v>
      </c>
      <c r="D45" s="236">
        <v>1251769.76</v>
      </c>
      <c r="E45" s="236">
        <f t="shared" si="0"/>
        <v>102430.03399999999</v>
      </c>
      <c r="F45" s="236">
        <v>1149339.726</v>
      </c>
      <c r="G45" s="236"/>
      <c r="H45" s="236"/>
      <c r="I45" s="236"/>
    </row>
    <row r="46" spans="1:9" s="96" customFormat="1" ht="11.25" customHeight="1">
      <c r="A46" s="104">
        <v>42</v>
      </c>
      <c r="B46" s="107"/>
      <c r="C46" s="108" t="s">
        <v>288</v>
      </c>
      <c r="D46" s="236">
        <v>1185731.7540000002</v>
      </c>
      <c r="E46" s="236">
        <f t="shared" si="0"/>
        <v>1185731.7540000002</v>
      </c>
      <c r="F46" s="236"/>
      <c r="G46" s="236"/>
      <c r="H46" s="236"/>
      <c r="I46" s="236"/>
    </row>
    <row r="47" spans="1:9" s="96" customFormat="1" ht="11.25" customHeight="1">
      <c r="A47" s="104">
        <v>43</v>
      </c>
      <c r="B47" s="107"/>
      <c r="C47" s="108" t="s">
        <v>322</v>
      </c>
      <c r="D47" s="236">
        <v>1068011.868</v>
      </c>
      <c r="E47" s="236">
        <f t="shared" si="0"/>
        <v>0</v>
      </c>
      <c r="F47" s="236"/>
      <c r="G47" s="236">
        <f>D47-H47</f>
        <v>24361.39100000006</v>
      </c>
      <c r="H47" s="236">
        <v>1043650.477</v>
      </c>
      <c r="I47" s="236"/>
    </row>
    <row r="48" spans="1:9" s="96" customFormat="1" ht="11.25" customHeight="1">
      <c r="A48" s="104">
        <v>44</v>
      </c>
      <c r="B48" s="107"/>
      <c r="C48" s="108" t="s">
        <v>175</v>
      </c>
      <c r="D48" s="236">
        <v>1057372.815</v>
      </c>
      <c r="E48" s="236">
        <f t="shared" si="0"/>
        <v>0</v>
      </c>
      <c r="F48" s="236">
        <f>D48</f>
        <v>1057372.815</v>
      </c>
      <c r="G48" s="236"/>
      <c r="H48" s="236"/>
      <c r="I48" s="236"/>
    </row>
    <row r="49" spans="1:9" s="96" customFormat="1" ht="11.25" customHeight="1">
      <c r="A49" s="104">
        <v>45</v>
      </c>
      <c r="B49" s="107"/>
      <c r="C49" s="108" t="s">
        <v>178</v>
      </c>
      <c r="D49" s="236">
        <v>766054.3920000001</v>
      </c>
      <c r="E49" s="236">
        <f t="shared" si="0"/>
        <v>0</v>
      </c>
      <c r="F49" s="236">
        <f>D49</f>
        <v>766054.3920000001</v>
      </c>
      <c r="G49" s="236"/>
      <c r="H49" s="236"/>
      <c r="I49" s="236"/>
    </row>
    <row r="50" spans="1:9" s="96" customFormat="1" ht="11.25" customHeight="1">
      <c r="A50" s="104">
        <v>46</v>
      </c>
      <c r="B50" s="107"/>
      <c r="C50" s="108" t="s">
        <v>177</v>
      </c>
      <c r="D50" s="236">
        <v>637155.9360000001</v>
      </c>
      <c r="E50" s="236">
        <f t="shared" si="0"/>
        <v>637155.9360000001</v>
      </c>
      <c r="F50" s="236"/>
      <c r="G50" s="236"/>
      <c r="H50" s="236"/>
      <c r="I50" s="236"/>
    </row>
    <row r="51" spans="1:9" s="96" customFormat="1" ht="11.25" customHeight="1">
      <c r="A51" s="104">
        <v>47</v>
      </c>
      <c r="B51" s="107"/>
      <c r="C51" s="108" t="s">
        <v>325</v>
      </c>
      <c r="D51" s="236">
        <v>581733.557</v>
      </c>
      <c r="E51" s="236">
        <f t="shared" si="0"/>
        <v>581733.557</v>
      </c>
      <c r="F51" s="236"/>
      <c r="G51" s="236"/>
      <c r="H51" s="236"/>
      <c r="I51" s="236"/>
    </row>
    <row r="52" spans="1:9" s="96" customFormat="1" ht="11.25" customHeight="1">
      <c r="A52" s="104">
        <v>48</v>
      </c>
      <c r="B52" s="107"/>
      <c r="C52" s="108" t="s">
        <v>261</v>
      </c>
      <c r="D52" s="236">
        <v>467591.85500000004</v>
      </c>
      <c r="E52" s="236">
        <f t="shared" si="0"/>
        <v>0</v>
      </c>
      <c r="F52" s="236">
        <f>D52</f>
        <v>467591.85500000004</v>
      </c>
      <c r="G52" s="236"/>
      <c r="H52" s="236"/>
      <c r="I52" s="236"/>
    </row>
    <row r="53" spans="1:9" s="96" customFormat="1" ht="11.25" customHeight="1">
      <c r="A53" s="104">
        <v>49</v>
      </c>
      <c r="B53" s="107"/>
      <c r="C53" s="108" t="s">
        <v>324</v>
      </c>
      <c r="D53" s="236">
        <v>447038.21</v>
      </c>
      <c r="E53" s="236">
        <f t="shared" si="0"/>
        <v>447038.21</v>
      </c>
      <c r="F53" s="236"/>
      <c r="G53" s="236"/>
      <c r="H53" s="236"/>
      <c r="I53" s="236"/>
    </row>
    <row r="54" spans="1:9" s="96" customFormat="1" ht="11.25" customHeight="1">
      <c r="A54" s="104">
        <v>50</v>
      </c>
      <c r="B54" s="107"/>
      <c r="C54" s="108" t="s">
        <v>181</v>
      </c>
      <c r="D54" s="236">
        <v>417759.473</v>
      </c>
      <c r="E54" s="236">
        <f t="shared" si="0"/>
        <v>417759.473</v>
      </c>
      <c r="F54" s="236"/>
      <c r="G54" s="236"/>
      <c r="H54" s="236"/>
      <c r="I54" s="236"/>
    </row>
    <row r="55" spans="1:9" s="96" customFormat="1" ht="11.25" customHeight="1">
      <c r="A55" s="104">
        <v>51</v>
      </c>
      <c r="B55" s="107"/>
      <c r="C55" s="108" t="s">
        <v>326</v>
      </c>
      <c r="D55" s="236">
        <v>287199.532</v>
      </c>
      <c r="E55" s="236">
        <f t="shared" si="0"/>
        <v>0</v>
      </c>
      <c r="F55" s="236">
        <f>D55</f>
        <v>287199.532</v>
      </c>
      <c r="G55" s="236"/>
      <c r="H55" s="236"/>
      <c r="I55" s="236"/>
    </row>
    <row r="56" spans="1:9" s="96" customFormat="1" ht="11.25" customHeight="1">
      <c r="A56" s="104">
        <v>52</v>
      </c>
      <c r="B56" s="107"/>
      <c r="C56" s="108" t="s">
        <v>185</v>
      </c>
      <c r="D56" s="236">
        <v>165173.83800000002</v>
      </c>
      <c r="E56" s="236">
        <f t="shared" si="0"/>
        <v>0</v>
      </c>
      <c r="F56" s="236">
        <f>D56</f>
        <v>165173.83800000002</v>
      </c>
      <c r="G56" s="236"/>
      <c r="H56" s="236"/>
      <c r="I56" s="236"/>
    </row>
    <row r="57" spans="1:9" s="96" customFormat="1" ht="11.25" customHeight="1">
      <c r="A57" s="104">
        <v>53</v>
      </c>
      <c r="B57" s="107"/>
      <c r="C57" s="108" t="s">
        <v>327</v>
      </c>
      <c r="D57" s="236">
        <v>109293.43900000001</v>
      </c>
      <c r="E57" s="236">
        <f t="shared" si="0"/>
        <v>0</v>
      </c>
      <c r="F57" s="236">
        <f>D57</f>
        <v>109293.43900000001</v>
      </c>
      <c r="G57" s="236"/>
      <c r="H57" s="236"/>
      <c r="I57" s="236"/>
    </row>
    <row r="58" spans="1:9" s="96" customFormat="1" ht="11.25" customHeight="1">
      <c r="A58" s="104">
        <v>54</v>
      </c>
      <c r="B58" s="107"/>
      <c r="C58" s="108" t="s">
        <v>186</v>
      </c>
      <c r="D58" s="236">
        <v>84170.347</v>
      </c>
      <c r="E58" s="236">
        <f t="shared" si="0"/>
        <v>17059.97799999999</v>
      </c>
      <c r="F58" s="237"/>
      <c r="G58" s="237"/>
      <c r="H58" s="237">
        <v>67110.369</v>
      </c>
      <c r="I58" s="236"/>
    </row>
    <row r="59" spans="1:9" s="96" customFormat="1" ht="11.25" customHeight="1">
      <c r="A59" s="104">
        <v>55</v>
      </c>
      <c r="B59" s="107"/>
      <c r="C59" s="108" t="s">
        <v>328</v>
      </c>
      <c r="D59" s="236">
        <v>76119.492</v>
      </c>
      <c r="E59" s="236">
        <f t="shared" si="0"/>
        <v>0</v>
      </c>
      <c r="F59" s="236">
        <f>D59</f>
        <v>76119.492</v>
      </c>
      <c r="G59" s="236"/>
      <c r="H59" s="236"/>
      <c r="I59" s="237"/>
    </row>
    <row r="60" spans="1:9" s="96" customFormat="1" ht="11.25" customHeight="1">
      <c r="A60" s="104">
        <v>56</v>
      </c>
      <c r="B60" s="107"/>
      <c r="C60" s="108" t="s">
        <v>329</v>
      </c>
      <c r="D60" s="236">
        <v>8910.2</v>
      </c>
      <c r="E60" s="236">
        <f t="shared" si="0"/>
        <v>0</v>
      </c>
      <c r="F60" s="238">
        <f>D60</f>
        <v>8910.2</v>
      </c>
      <c r="G60" s="238"/>
      <c r="H60" s="238"/>
      <c r="I60" s="237"/>
    </row>
    <row r="61" spans="1:9" ht="14.25" customHeight="1" thickBot="1">
      <c r="A61" s="225"/>
      <c r="B61" s="25"/>
      <c r="C61" s="7" t="s">
        <v>330</v>
      </c>
      <c r="D61" s="239">
        <f>SUM(D5:D60)</f>
        <v>566087852.7889999</v>
      </c>
      <c r="E61" s="239">
        <f>SUM(E5:E60)</f>
        <v>401510640.9799998</v>
      </c>
      <c r="F61" s="239">
        <f>SUM(F5:F60)</f>
        <v>103967412.83700001</v>
      </c>
      <c r="G61" s="239">
        <f>SUM(G5:G60)</f>
        <v>25638250.775</v>
      </c>
      <c r="H61" s="239">
        <f>SUM(H5:H60)</f>
        <v>34971548.197000004</v>
      </c>
      <c r="I61" s="230"/>
    </row>
    <row r="62" spans="1:8" ht="12.75" customHeight="1" thickTop="1">
      <c r="A62" s="328" t="s">
        <v>543</v>
      </c>
      <c r="B62" s="329"/>
      <c r="C62" s="7"/>
      <c r="H62" s="230"/>
    </row>
    <row r="63" spans="1:8" ht="12.75">
      <c r="A63" s="109" t="s">
        <v>544</v>
      </c>
      <c r="B63"/>
      <c r="C63"/>
      <c r="H63" s="240"/>
    </row>
    <row r="64" spans="1:3" ht="12.75">
      <c r="A64" s="109" t="s">
        <v>545</v>
      </c>
      <c r="B64"/>
      <c r="C64"/>
    </row>
    <row r="65" spans="1:3" ht="12.75">
      <c r="A65" s="109" t="s">
        <v>546</v>
      </c>
      <c r="B65"/>
      <c r="C65"/>
    </row>
    <row r="66" spans="1:3" ht="12.75">
      <c r="A66" s="109" t="s">
        <v>547</v>
      </c>
      <c r="B66"/>
      <c r="C66"/>
    </row>
    <row r="67" spans="1:3" ht="12.75">
      <c r="A67" s="109" t="s">
        <v>548</v>
      </c>
      <c r="B67"/>
      <c r="C67"/>
    </row>
  </sheetData>
  <printOptions/>
  <pageMargins left="0.6692913385826772" right="0.5511811023622047" top="0.51" bottom="0" header="0.2362204724409449" footer="0.2362204724409449"/>
  <pageSetup firstPageNumber="9" useFirstPageNumber="1" horizontalDpi="600" verticalDpi="600" orientation="portrait" paperSize="9" r:id="rId1"/>
  <headerFooter alignWithMargins="0">
    <oddHeader>&amp;C&amp;"Times New Roman,Bold"&amp;14 2.3. NET ASSETS BROKEN DOWN BY PENSION SCHEMES</oddHeader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L66"/>
  <sheetViews>
    <sheetView workbookViewId="0" topLeftCell="A1">
      <pane xSplit="1" ySplit="5" topLeftCell="AV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"/>
    </sheetView>
  </sheetViews>
  <sheetFormatPr defaultColWidth="9.00390625" defaultRowHeight="12.75"/>
  <cols>
    <col min="1" max="1" width="34.25390625" style="210" customWidth="1"/>
    <col min="2" max="2" width="10.375" style="210" customWidth="1"/>
    <col min="3" max="3" width="7.875" style="211" customWidth="1"/>
    <col min="4" max="4" width="9.125" style="210" customWidth="1"/>
    <col min="5" max="9" width="7.875" style="211" customWidth="1"/>
    <col min="10" max="10" width="10.50390625" style="210" bestFit="1" customWidth="1"/>
    <col min="11" max="11" width="7.875" style="211" customWidth="1"/>
    <col min="12" max="12" width="10.375" style="210" bestFit="1" customWidth="1"/>
    <col min="13" max="15" width="7.875" style="211" customWidth="1"/>
    <col min="16" max="16" width="9.125" style="210" bestFit="1" customWidth="1"/>
    <col min="17" max="17" width="7.875" style="211" customWidth="1"/>
    <col min="18" max="18" width="9.875" style="210" bestFit="1" customWidth="1"/>
    <col min="19" max="19" width="9.125" style="211" bestFit="1" customWidth="1"/>
    <col min="20" max="20" width="9.875" style="210" bestFit="1" customWidth="1"/>
    <col min="21" max="21" width="9.125" style="211" bestFit="1" customWidth="1"/>
    <col min="22" max="22" width="9.75390625" style="210" bestFit="1" customWidth="1"/>
    <col min="23" max="23" width="9.125" style="211" bestFit="1" customWidth="1"/>
    <col min="24" max="24" width="9.00390625" style="211" customWidth="1"/>
    <col min="25" max="25" width="9.00390625" style="210" customWidth="1"/>
    <col min="26" max="26" width="7.875" style="211" customWidth="1"/>
    <col min="27" max="27" width="9.00390625" style="210" customWidth="1"/>
    <col min="28" max="28" width="7.875" style="211" customWidth="1"/>
    <col min="29" max="30" width="9.00390625" style="210" customWidth="1"/>
    <col min="31" max="31" width="7.875" style="211" customWidth="1"/>
    <col min="32" max="35" width="9.00390625" style="210" customWidth="1"/>
    <col min="36" max="36" width="7.875" style="211" customWidth="1"/>
    <col min="37" max="37" width="9.00390625" style="210" customWidth="1"/>
    <col min="38" max="38" width="7.875" style="211" customWidth="1"/>
    <col min="39" max="39" width="9.00390625" style="210" customWidth="1"/>
    <col min="40" max="40" width="7.875" style="211" customWidth="1"/>
    <col min="41" max="41" width="9.00390625" style="210" customWidth="1"/>
    <col min="42" max="42" width="7.875" style="211" customWidth="1"/>
    <col min="43" max="44" width="9.00390625" style="210" customWidth="1"/>
    <col min="45" max="45" width="7.875" style="211" customWidth="1"/>
    <col min="46" max="46" width="9.00390625" style="210" customWidth="1"/>
    <col min="47" max="47" width="7.875" style="211" customWidth="1"/>
    <col min="48" max="48" width="9.00390625" style="210" customWidth="1"/>
    <col min="49" max="49" width="7.875" style="211" customWidth="1"/>
    <col min="50" max="50" width="9.00390625" style="210" customWidth="1"/>
    <col min="51" max="51" width="9.875" style="210" customWidth="1"/>
    <col min="52" max="52" width="8.75390625" style="211" customWidth="1"/>
    <col min="53" max="54" width="9.00390625" style="210" customWidth="1"/>
    <col min="55" max="55" width="7.875" style="211" customWidth="1"/>
    <col min="56" max="56" width="9.00390625" style="210" customWidth="1"/>
    <col min="57" max="57" width="7.875" style="211" customWidth="1"/>
    <col min="58" max="58" width="9.00390625" style="210" customWidth="1"/>
    <col min="59" max="59" width="7.875" style="211" customWidth="1"/>
    <col min="60" max="60" width="9.00390625" style="210" customWidth="1"/>
    <col min="61" max="61" width="7.875" style="211" customWidth="1"/>
    <col min="62" max="63" width="9.00390625" style="210" customWidth="1"/>
    <col min="64" max="65" width="7.875" style="211" customWidth="1"/>
    <col min="66" max="66" width="9.50390625" style="210" customWidth="1"/>
    <col min="67" max="67" width="9.875" style="210" customWidth="1"/>
    <col min="68" max="70" width="9.00390625" style="210" customWidth="1"/>
    <col min="71" max="73" width="7.875" style="211" customWidth="1"/>
    <col min="74" max="74" width="9.875" style="210" customWidth="1"/>
    <col min="75" max="75" width="9.375" style="210" customWidth="1"/>
    <col min="76" max="76" width="9.00390625" style="210" customWidth="1"/>
    <col min="77" max="77" width="7.875" style="211" customWidth="1"/>
    <col min="78" max="78" width="9.75390625" style="210" customWidth="1"/>
    <col min="79" max="80" width="7.875" style="211" customWidth="1"/>
    <col min="81" max="82" width="9.00390625" style="210" customWidth="1"/>
    <col min="83" max="83" width="7.875" style="211" customWidth="1"/>
    <col min="84" max="85" width="9.00390625" style="210" customWidth="1"/>
    <col min="86" max="86" width="9.75390625" style="210" customWidth="1"/>
    <col min="87" max="87" width="9.875" style="210" customWidth="1"/>
    <col min="88" max="88" width="9.50390625" style="210" customWidth="1"/>
    <col min="89" max="92" width="9.00390625" style="210" customWidth="1"/>
    <col min="93" max="93" width="9.75390625" style="210" customWidth="1"/>
    <col min="94" max="94" width="9.00390625" style="210" customWidth="1"/>
    <col min="95" max="95" width="7.875" style="211" customWidth="1"/>
    <col min="96" max="97" width="9.00390625" style="210" customWidth="1"/>
    <col min="98" max="98" width="7.375" style="210" customWidth="1"/>
    <col min="99" max="99" width="1.25" style="210" customWidth="1"/>
    <col min="100" max="100" width="13.375" style="210" customWidth="1"/>
    <col min="101" max="101" width="2.25390625" style="210" customWidth="1"/>
    <col min="102" max="102" width="10.50390625" style="210" customWidth="1"/>
    <col min="103" max="103" width="10.875" style="210" customWidth="1"/>
    <col min="104" max="104" width="6.375" style="210" customWidth="1"/>
    <col min="105" max="16384" width="9.00390625" style="210" customWidth="1"/>
  </cols>
  <sheetData>
    <row r="1" spans="1:104" ht="12.75" customHeight="1">
      <c r="A1" s="189"/>
      <c r="B1" s="207" t="s">
        <v>0</v>
      </c>
      <c r="C1" s="208" t="s">
        <v>0</v>
      </c>
      <c r="D1" s="207" t="s">
        <v>0</v>
      </c>
      <c r="E1" s="208" t="s">
        <v>0</v>
      </c>
      <c r="F1" s="208" t="s">
        <v>0</v>
      </c>
      <c r="G1" s="208" t="s">
        <v>0</v>
      </c>
      <c r="H1" s="208" t="s">
        <v>0</v>
      </c>
      <c r="I1" s="208" t="s">
        <v>0</v>
      </c>
      <c r="J1" s="207" t="s">
        <v>0</v>
      </c>
      <c r="K1" s="208" t="s">
        <v>0</v>
      </c>
      <c r="L1" s="207" t="s">
        <v>1</v>
      </c>
      <c r="M1" s="208" t="s">
        <v>1</v>
      </c>
      <c r="N1" s="208" t="s">
        <v>1</v>
      </c>
      <c r="O1" s="208" t="s">
        <v>1</v>
      </c>
      <c r="P1" s="207" t="s">
        <v>0</v>
      </c>
      <c r="Q1" s="208" t="s">
        <v>0</v>
      </c>
      <c r="R1" s="207" t="s">
        <v>0</v>
      </c>
      <c r="S1" s="208" t="s">
        <v>0</v>
      </c>
      <c r="T1" s="207" t="s">
        <v>2</v>
      </c>
      <c r="U1" s="208" t="s">
        <v>2</v>
      </c>
      <c r="V1" s="207" t="s">
        <v>0</v>
      </c>
      <c r="W1" s="208" t="s">
        <v>0</v>
      </c>
      <c r="X1" s="208" t="s">
        <v>0</v>
      </c>
      <c r="Y1" s="207" t="s">
        <v>0</v>
      </c>
      <c r="Z1" s="208" t="s">
        <v>0</v>
      </c>
      <c r="AA1" s="207" t="s">
        <v>3</v>
      </c>
      <c r="AB1" s="208" t="s">
        <v>3</v>
      </c>
      <c r="AC1" s="207" t="s">
        <v>0</v>
      </c>
      <c r="AD1" s="207" t="s">
        <v>0</v>
      </c>
      <c r="AE1" s="208" t="s">
        <v>0</v>
      </c>
      <c r="AF1" s="207" t="s">
        <v>0</v>
      </c>
      <c r="AG1" s="207" t="s">
        <v>0</v>
      </c>
      <c r="AH1" s="207" t="s">
        <v>0</v>
      </c>
      <c r="AI1" s="209" t="s">
        <v>0</v>
      </c>
      <c r="AJ1" s="208" t="s">
        <v>0</v>
      </c>
      <c r="AK1" s="207" t="s">
        <v>0</v>
      </c>
      <c r="AL1" s="208" t="s">
        <v>0</v>
      </c>
      <c r="AM1" s="207" t="s">
        <v>5</v>
      </c>
      <c r="AN1" s="208" t="s">
        <v>5</v>
      </c>
      <c r="AO1" s="207" t="s">
        <v>7</v>
      </c>
      <c r="AP1" s="208" t="s">
        <v>7</v>
      </c>
      <c r="AQ1" s="207" t="s">
        <v>0</v>
      </c>
      <c r="AR1" s="207" t="s">
        <v>0</v>
      </c>
      <c r="AS1" s="208" t="s">
        <v>0</v>
      </c>
      <c r="AT1" s="207" t="s">
        <v>265</v>
      </c>
      <c r="AU1" s="208" t="s">
        <v>265</v>
      </c>
      <c r="AV1" s="207" t="s">
        <v>6</v>
      </c>
      <c r="AW1" s="208" t="s">
        <v>6</v>
      </c>
      <c r="AX1" s="207" t="s">
        <v>0</v>
      </c>
      <c r="AY1" s="207" t="s">
        <v>0</v>
      </c>
      <c r="AZ1" s="208" t="s">
        <v>0</v>
      </c>
      <c r="BA1" s="207" t="s">
        <v>0</v>
      </c>
      <c r="BB1" s="207" t="s">
        <v>8</v>
      </c>
      <c r="BC1" s="208" t="s">
        <v>8</v>
      </c>
      <c r="BD1" s="207" t="s">
        <v>0</v>
      </c>
      <c r="BE1" s="208" t="s">
        <v>0</v>
      </c>
      <c r="BF1" s="207" t="s">
        <v>6</v>
      </c>
      <c r="BG1" s="208" t="s">
        <v>6</v>
      </c>
      <c r="BH1" s="207" t="s">
        <v>0</v>
      </c>
      <c r="BI1" s="208" t="s">
        <v>0</v>
      </c>
      <c r="BJ1" s="207" t="s">
        <v>0</v>
      </c>
      <c r="BK1" s="207" t="s">
        <v>0</v>
      </c>
      <c r="BL1" s="208" t="s">
        <v>0</v>
      </c>
      <c r="BM1" s="208" t="s">
        <v>0</v>
      </c>
      <c r="BN1" s="207" t="s">
        <v>4</v>
      </c>
      <c r="BO1" s="207" t="s">
        <v>0</v>
      </c>
      <c r="BP1" s="207" t="s">
        <v>0</v>
      </c>
      <c r="BQ1" s="207" t="s">
        <v>0</v>
      </c>
      <c r="BR1" s="207" t="s">
        <v>0</v>
      </c>
      <c r="BS1" s="208" t="s">
        <v>0</v>
      </c>
      <c r="BT1" s="208" t="s">
        <v>0</v>
      </c>
      <c r="BU1" s="208" t="s">
        <v>0</v>
      </c>
      <c r="BV1" s="207" t="s">
        <v>4</v>
      </c>
      <c r="BW1" s="207" t="s">
        <v>0</v>
      </c>
      <c r="BX1" s="207" t="s">
        <v>50</v>
      </c>
      <c r="BY1" s="208" t="s">
        <v>50</v>
      </c>
      <c r="BZ1" s="207" t="s">
        <v>4</v>
      </c>
      <c r="CA1" s="208" t="s">
        <v>4</v>
      </c>
      <c r="CB1" s="208" t="s">
        <v>4</v>
      </c>
      <c r="CC1" s="207" t="s">
        <v>0</v>
      </c>
      <c r="CD1" s="207" t="s">
        <v>0</v>
      </c>
      <c r="CE1" s="208" t="s">
        <v>0</v>
      </c>
      <c r="CF1" s="207" t="s">
        <v>0</v>
      </c>
      <c r="CG1" s="207" t="s">
        <v>0</v>
      </c>
      <c r="CH1" s="207" t="s">
        <v>4</v>
      </c>
      <c r="CI1" s="207" t="s">
        <v>4</v>
      </c>
      <c r="CJ1" s="207" t="s">
        <v>4</v>
      </c>
      <c r="CK1" s="207" t="s">
        <v>0</v>
      </c>
      <c r="CL1" s="207" t="s">
        <v>6</v>
      </c>
      <c r="CM1" s="207" t="s">
        <v>0</v>
      </c>
      <c r="CN1" s="207" t="s">
        <v>0</v>
      </c>
      <c r="CO1" s="207" t="s">
        <v>4</v>
      </c>
      <c r="CP1" s="207" t="s">
        <v>9</v>
      </c>
      <c r="CQ1" s="208" t="s">
        <v>9</v>
      </c>
      <c r="CR1" s="207" t="s">
        <v>0</v>
      </c>
      <c r="CS1" s="207" t="s">
        <v>0</v>
      </c>
      <c r="CT1" s="207"/>
      <c r="CV1" s="209"/>
      <c r="CW1" s="209"/>
      <c r="CX1" s="190" t="s">
        <v>567</v>
      </c>
      <c r="CY1" s="190" t="s">
        <v>568</v>
      </c>
      <c r="CZ1" s="209"/>
    </row>
    <row r="2" spans="1:104" ht="12.75">
      <c r="A2" s="193" t="s">
        <v>397</v>
      </c>
      <c r="B2" s="207" t="s">
        <v>12</v>
      </c>
      <c r="C2" s="208" t="s">
        <v>12</v>
      </c>
      <c r="D2" s="207" t="s">
        <v>339</v>
      </c>
      <c r="E2" s="208" t="s">
        <v>339</v>
      </c>
      <c r="F2" s="208" t="s">
        <v>339</v>
      </c>
      <c r="G2" s="208" t="s">
        <v>339</v>
      </c>
      <c r="H2" s="208" t="s">
        <v>339</v>
      </c>
      <c r="I2" s="208" t="s">
        <v>339</v>
      </c>
      <c r="J2" s="207" t="s">
        <v>16</v>
      </c>
      <c r="K2" s="208" t="s">
        <v>16</v>
      </c>
      <c r="L2" s="207" t="s">
        <v>15</v>
      </c>
      <c r="M2" s="208" t="s">
        <v>15</v>
      </c>
      <c r="N2" s="208" t="s">
        <v>15</v>
      </c>
      <c r="O2" s="208" t="s">
        <v>15</v>
      </c>
      <c r="P2" s="207" t="s">
        <v>13</v>
      </c>
      <c r="Q2" s="208" t="s">
        <v>13</v>
      </c>
      <c r="R2" s="207" t="s">
        <v>17</v>
      </c>
      <c r="S2" s="208" t="s">
        <v>17</v>
      </c>
      <c r="T2" s="207" t="s">
        <v>15</v>
      </c>
      <c r="U2" s="208" t="s">
        <v>15</v>
      </c>
      <c r="V2" s="207" t="s">
        <v>273</v>
      </c>
      <c r="W2" s="208" t="s">
        <v>273</v>
      </c>
      <c r="X2" s="208" t="s">
        <v>273</v>
      </c>
      <c r="Y2" s="207" t="s">
        <v>234</v>
      </c>
      <c r="Z2" s="208" t="s">
        <v>234</v>
      </c>
      <c r="AA2" s="207" t="s">
        <v>15</v>
      </c>
      <c r="AB2" s="208" t="s">
        <v>15</v>
      </c>
      <c r="AC2" s="207" t="s">
        <v>19</v>
      </c>
      <c r="AD2" s="207" t="s">
        <v>20</v>
      </c>
      <c r="AE2" s="208" t="s">
        <v>20</v>
      </c>
      <c r="AF2" s="207" t="s">
        <v>22</v>
      </c>
      <c r="AG2" s="207" t="s">
        <v>18</v>
      </c>
      <c r="AH2" s="207" t="s">
        <v>21</v>
      </c>
      <c r="AI2" s="209" t="s">
        <v>284</v>
      </c>
      <c r="AJ2" s="208" t="s">
        <v>284</v>
      </c>
      <c r="AK2" s="207" t="s">
        <v>23</v>
      </c>
      <c r="AL2" s="208" t="s">
        <v>23</v>
      </c>
      <c r="AM2" s="207" t="s">
        <v>15</v>
      </c>
      <c r="AN2" s="208" t="s">
        <v>15</v>
      </c>
      <c r="AO2" s="207" t="s">
        <v>30</v>
      </c>
      <c r="AP2" s="208" t="s">
        <v>30</v>
      </c>
      <c r="AQ2" s="207" t="s">
        <v>25</v>
      </c>
      <c r="AR2" s="207" t="s">
        <v>24</v>
      </c>
      <c r="AS2" s="208" t="s">
        <v>24</v>
      </c>
      <c r="AT2" s="207" t="s">
        <v>46</v>
      </c>
      <c r="AU2" s="208" t="s">
        <v>46</v>
      </c>
      <c r="AV2" s="207" t="s">
        <v>29</v>
      </c>
      <c r="AW2" s="208" t="s">
        <v>29</v>
      </c>
      <c r="AX2" s="207" t="s">
        <v>14</v>
      </c>
      <c r="AY2" s="207" t="s">
        <v>275</v>
      </c>
      <c r="AZ2" s="208" t="s">
        <v>275</v>
      </c>
      <c r="BA2" s="207" t="s">
        <v>71</v>
      </c>
      <c r="BB2" s="207" t="s">
        <v>15</v>
      </c>
      <c r="BC2" s="208" t="s">
        <v>15</v>
      </c>
      <c r="BD2" s="207" t="s">
        <v>26</v>
      </c>
      <c r="BE2" s="208" t="s">
        <v>26</v>
      </c>
      <c r="BF2" s="207" t="s">
        <v>29</v>
      </c>
      <c r="BG2" s="208" t="s">
        <v>29</v>
      </c>
      <c r="BH2" s="207" t="s">
        <v>27</v>
      </c>
      <c r="BI2" s="208" t="s">
        <v>27</v>
      </c>
      <c r="BJ2" s="207" t="s">
        <v>14</v>
      </c>
      <c r="BK2" s="207" t="s">
        <v>28</v>
      </c>
      <c r="BL2" s="208" t="s">
        <v>28</v>
      </c>
      <c r="BM2" s="208" t="s">
        <v>28</v>
      </c>
      <c r="BN2" s="207" t="s">
        <v>14</v>
      </c>
      <c r="BO2" s="207" t="s">
        <v>31</v>
      </c>
      <c r="BP2" s="207" t="s">
        <v>32</v>
      </c>
      <c r="BQ2" s="207" t="s">
        <v>33</v>
      </c>
      <c r="BR2" s="207" t="s">
        <v>14</v>
      </c>
      <c r="BS2" s="208" t="s">
        <v>14</v>
      </c>
      <c r="BT2" s="208" t="s">
        <v>14</v>
      </c>
      <c r="BU2" s="208" t="s">
        <v>14</v>
      </c>
      <c r="BV2" s="207" t="s">
        <v>34</v>
      </c>
      <c r="BW2" s="207" t="s">
        <v>36</v>
      </c>
      <c r="BX2" s="207" t="s">
        <v>15</v>
      </c>
      <c r="BY2" s="208" t="s">
        <v>15</v>
      </c>
      <c r="BZ2" s="207" t="s">
        <v>37</v>
      </c>
      <c r="CA2" s="208" t="s">
        <v>37</v>
      </c>
      <c r="CB2" s="208" t="s">
        <v>37</v>
      </c>
      <c r="CC2" s="207" t="s">
        <v>35</v>
      </c>
      <c r="CD2" s="207" t="s">
        <v>39</v>
      </c>
      <c r="CE2" s="208" t="s">
        <v>39</v>
      </c>
      <c r="CF2" s="207" t="s">
        <v>38</v>
      </c>
      <c r="CG2" s="207" t="s">
        <v>41</v>
      </c>
      <c r="CH2" s="207" t="s">
        <v>40</v>
      </c>
      <c r="CI2" s="207" t="s">
        <v>42</v>
      </c>
      <c r="CJ2" s="207" t="s">
        <v>260</v>
      </c>
      <c r="CK2" s="207" t="s">
        <v>14</v>
      </c>
      <c r="CL2" s="207" t="s">
        <v>29</v>
      </c>
      <c r="CM2" s="207" t="s">
        <v>43</v>
      </c>
      <c r="CN2" s="207" t="s">
        <v>45</v>
      </c>
      <c r="CO2" s="207" t="s">
        <v>44</v>
      </c>
      <c r="CP2" s="207" t="s">
        <v>46</v>
      </c>
      <c r="CQ2" s="208" t="s">
        <v>46</v>
      </c>
      <c r="CR2" s="207" t="s">
        <v>47</v>
      </c>
      <c r="CS2" s="207" t="s">
        <v>48</v>
      </c>
      <c r="CT2" s="207"/>
      <c r="CV2" s="209"/>
      <c r="CW2" s="209"/>
      <c r="CX2" s="190" t="s">
        <v>569</v>
      </c>
      <c r="CY2" s="190" t="s">
        <v>569</v>
      </c>
      <c r="CZ2" s="209"/>
    </row>
    <row r="3" spans="1:104" ht="12.75">
      <c r="A3" s="189"/>
      <c r="B3" s="207" t="s">
        <v>51</v>
      </c>
      <c r="C3" s="208" t="s">
        <v>51</v>
      </c>
      <c r="D3" s="207" t="s">
        <v>346</v>
      </c>
      <c r="E3" s="211" t="s">
        <v>137</v>
      </c>
      <c r="F3" s="211" t="s">
        <v>137</v>
      </c>
      <c r="G3" s="212" t="s">
        <v>342</v>
      </c>
      <c r="H3" s="212" t="s">
        <v>344</v>
      </c>
      <c r="I3" s="212" t="s">
        <v>370</v>
      </c>
      <c r="J3" s="207" t="s">
        <v>137</v>
      </c>
      <c r="K3" s="212" t="s">
        <v>370</v>
      </c>
      <c r="L3" s="207" t="s">
        <v>29</v>
      </c>
      <c r="M3" s="208" t="s">
        <v>29</v>
      </c>
      <c r="N3" s="208" t="s">
        <v>29</v>
      </c>
      <c r="O3" s="208" t="s">
        <v>29</v>
      </c>
      <c r="P3" s="207" t="s">
        <v>137</v>
      </c>
      <c r="Q3" s="212" t="s">
        <v>382</v>
      </c>
      <c r="R3" s="207" t="s">
        <v>53</v>
      </c>
      <c r="S3" s="208" t="s">
        <v>53</v>
      </c>
      <c r="T3" s="207" t="s">
        <v>52</v>
      </c>
      <c r="U3" s="208" t="s">
        <v>52</v>
      </c>
      <c r="V3" s="207" t="s">
        <v>66</v>
      </c>
      <c r="W3" s="208" t="s">
        <v>66</v>
      </c>
      <c r="X3" s="208" t="s">
        <v>66</v>
      </c>
      <c r="Y3" s="207" t="s">
        <v>137</v>
      </c>
      <c r="Z3" s="212" t="s">
        <v>370</v>
      </c>
      <c r="AA3" s="207" t="s">
        <v>29</v>
      </c>
      <c r="AB3" s="208" t="s">
        <v>29</v>
      </c>
      <c r="AC3" s="207" t="s">
        <v>53</v>
      </c>
      <c r="AD3" s="207" t="s">
        <v>54</v>
      </c>
      <c r="AE3" s="208" t="s">
        <v>54</v>
      </c>
      <c r="AF3" s="207" t="s">
        <v>137</v>
      </c>
      <c r="AG3" s="207" t="s">
        <v>137</v>
      </c>
      <c r="AH3" s="207" t="s">
        <v>55</v>
      </c>
      <c r="AI3" s="209" t="s">
        <v>283</v>
      </c>
      <c r="AJ3" s="208" t="s">
        <v>283</v>
      </c>
      <c r="AK3" s="207" t="s">
        <v>262</v>
      </c>
      <c r="AL3" s="208" t="s">
        <v>262</v>
      </c>
      <c r="AM3" s="207" t="s">
        <v>29</v>
      </c>
      <c r="AN3" s="208" t="s">
        <v>29</v>
      </c>
      <c r="AO3" s="207" t="s">
        <v>62</v>
      </c>
      <c r="AP3" s="208" t="s">
        <v>62</v>
      </c>
      <c r="AQ3" s="207" t="s">
        <v>193</v>
      </c>
      <c r="AR3" s="207" t="s">
        <v>53</v>
      </c>
      <c r="AS3" s="208" t="s">
        <v>53</v>
      </c>
      <c r="AT3" s="207" t="s">
        <v>266</v>
      </c>
      <c r="AU3" s="208" t="s">
        <v>266</v>
      </c>
      <c r="AV3" s="207" t="s">
        <v>77</v>
      </c>
      <c r="AW3" s="208" t="s">
        <v>77</v>
      </c>
      <c r="AX3" s="207" t="s">
        <v>285</v>
      </c>
      <c r="AY3" s="207" t="s">
        <v>276</v>
      </c>
      <c r="AZ3" s="208" t="s">
        <v>276</v>
      </c>
      <c r="BA3" s="207"/>
      <c r="BB3" s="207" t="s">
        <v>73</v>
      </c>
      <c r="BC3" s="208" t="s">
        <v>73</v>
      </c>
      <c r="BD3" s="207" t="s">
        <v>57</v>
      </c>
      <c r="BE3" s="208" t="s">
        <v>57</v>
      </c>
      <c r="BF3" s="207" t="s">
        <v>61</v>
      </c>
      <c r="BG3" s="208" t="s">
        <v>61</v>
      </c>
      <c r="BH3" s="207"/>
      <c r="BI3" s="212" t="s">
        <v>370</v>
      </c>
      <c r="BJ3" s="207" t="s">
        <v>58</v>
      </c>
      <c r="BK3" s="207" t="s">
        <v>59</v>
      </c>
      <c r="BL3" s="208" t="s">
        <v>59</v>
      </c>
      <c r="BM3" s="208" t="s">
        <v>59</v>
      </c>
      <c r="BN3" s="207" t="s">
        <v>60</v>
      </c>
      <c r="BO3" s="207" t="s">
        <v>63</v>
      </c>
      <c r="BP3" s="207" t="s">
        <v>64</v>
      </c>
      <c r="BQ3" s="207"/>
      <c r="BR3" s="207" t="s">
        <v>277</v>
      </c>
      <c r="BS3" s="208" t="s">
        <v>277</v>
      </c>
      <c r="BT3" s="208" t="s">
        <v>277</v>
      </c>
      <c r="BU3" s="208" t="s">
        <v>277</v>
      </c>
      <c r="BV3" s="207" t="s">
        <v>65</v>
      </c>
      <c r="BW3" s="207" t="s">
        <v>68</v>
      </c>
      <c r="BX3" s="207" t="s">
        <v>29</v>
      </c>
      <c r="BY3" s="208" t="s">
        <v>29</v>
      </c>
      <c r="BZ3" s="207" t="s">
        <v>280</v>
      </c>
      <c r="CA3" s="208" t="s">
        <v>280</v>
      </c>
      <c r="CB3" s="208" t="s">
        <v>280</v>
      </c>
      <c r="CC3" s="207" t="s">
        <v>67</v>
      </c>
      <c r="CD3" s="207" t="s">
        <v>56</v>
      </c>
      <c r="CE3" s="208" t="s">
        <v>56</v>
      </c>
      <c r="CF3" s="207" t="s">
        <v>70</v>
      </c>
      <c r="CG3" s="207" t="s">
        <v>69</v>
      </c>
      <c r="CH3" s="207" t="s">
        <v>71</v>
      </c>
      <c r="CI3" s="207" t="s">
        <v>72</v>
      </c>
      <c r="CJ3" s="207" t="s">
        <v>76</v>
      </c>
      <c r="CK3" s="207" t="s">
        <v>74</v>
      </c>
      <c r="CL3" s="207" t="s">
        <v>75</v>
      </c>
      <c r="CM3" s="207" t="s">
        <v>78</v>
      </c>
      <c r="CN3" s="207" t="s">
        <v>80</v>
      </c>
      <c r="CO3" s="207" t="s">
        <v>79</v>
      </c>
      <c r="CP3" s="207" t="s">
        <v>81</v>
      </c>
      <c r="CQ3" s="208" t="s">
        <v>81</v>
      </c>
      <c r="CR3" s="207" t="s">
        <v>82</v>
      </c>
      <c r="CS3" s="207" t="s">
        <v>83</v>
      </c>
      <c r="CT3" s="207"/>
      <c r="CV3" s="190" t="s">
        <v>574</v>
      </c>
      <c r="CW3" s="209"/>
      <c r="CX3" s="190" t="s">
        <v>570</v>
      </c>
      <c r="CY3" s="190" t="s">
        <v>570</v>
      </c>
      <c r="CZ3" s="209"/>
    </row>
    <row r="4" spans="1:104" ht="12.75">
      <c r="A4" s="195"/>
      <c r="B4" s="213" t="s">
        <v>85</v>
      </c>
      <c r="C4" s="212" t="s">
        <v>370</v>
      </c>
      <c r="D4" s="213" t="s">
        <v>86</v>
      </c>
      <c r="E4" s="212" t="s">
        <v>340</v>
      </c>
      <c r="F4" s="212" t="s">
        <v>341</v>
      </c>
      <c r="G4" s="212" t="s">
        <v>343</v>
      </c>
      <c r="H4" s="212" t="s">
        <v>345</v>
      </c>
      <c r="I4" s="212" t="s">
        <v>345</v>
      </c>
      <c r="J4" s="213" t="s">
        <v>87</v>
      </c>
      <c r="K4" s="212" t="s">
        <v>345</v>
      </c>
      <c r="L4" s="213" t="s">
        <v>88</v>
      </c>
      <c r="M4" s="214" t="s">
        <v>348</v>
      </c>
      <c r="N4" s="212" t="s">
        <v>372</v>
      </c>
      <c r="O4" s="212" t="s">
        <v>382</v>
      </c>
      <c r="P4" s="213" t="s">
        <v>89</v>
      </c>
      <c r="Q4" s="212" t="s">
        <v>345</v>
      </c>
      <c r="R4" s="213" t="s">
        <v>90</v>
      </c>
      <c r="S4" s="214" t="s">
        <v>382</v>
      </c>
      <c r="T4" s="213" t="s">
        <v>91</v>
      </c>
      <c r="U4" s="214" t="s">
        <v>370</v>
      </c>
      <c r="V4" s="213" t="s">
        <v>92</v>
      </c>
      <c r="W4" s="214" t="s">
        <v>374</v>
      </c>
      <c r="X4" s="214" t="s">
        <v>373</v>
      </c>
      <c r="Y4" s="213" t="s">
        <v>189</v>
      </c>
      <c r="Z4" s="212" t="s">
        <v>345</v>
      </c>
      <c r="AA4" s="213" t="s">
        <v>190</v>
      </c>
      <c r="AB4" s="212" t="s">
        <v>370</v>
      </c>
      <c r="AC4" s="213" t="s">
        <v>191</v>
      </c>
      <c r="AD4" s="213" t="s">
        <v>93</v>
      </c>
      <c r="AE4" s="212" t="s">
        <v>370</v>
      </c>
      <c r="AF4" s="213" t="s">
        <v>94</v>
      </c>
      <c r="AG4" s="213" t="s">
        <v>95</v>
      </c>
      <c r="AH4" s="213" t="s">
        <v>96</v>
      </c>
      <c r="AI4" s="213" t="s">
        <v>97</v>
      </c>
      <c r="AJ4" s="212" t="s">
        <v>370</v>
      </c>
      <c r="AK4" s="213" t="s">
        <v>98</v>
      </c>
      <c r="AL4" s="212" t="s">
        <v>370</v>
      </c>
      <c r="AM4" s="213" t="s">
        <v>99</v>
      </c>
      <c r="AN4" s="212" t="s">
        <v>370</v>
      </c>
      <c r="AO4" s="213" t="s">
        <v>100</v>
      </c>
      <c r="AP4" s="212" t="s">
        <v>370</v>
      </c>
      <c r="AQ4" s="213" t="s">
        <v>101</v>
      </c>
      <c r="AR4" s="213" t="s">
        <v>102</v>
      </c>
      <c r="AS4" s="212" t="s">
        <v>370</v>
      </c>
      <c r="AT4" s="213" t="s">
        <v>103</v>
      </c>
      <c r="AU4" s="212" t="s">
        <v>370</v>
      </c>
      <c r="AV4" s="213" t="s">
        <v>104</v>
      </c>
      <c r="AW4" s="212" t="s">
        <v>370</v>
      </c>
      <c r="AX4" s="213" t="s">
        <v>105</v>
      </c>
      <c r="AY4" s="213" t="s">
        <v>106</v>
      </c>
      <c r="AZ4" s="212" t="s">
        <v>370</v>
      </c>
      <c r="BA4" s="213" t="s">
        <v>305</v>
      </c>
      <c r="BB4" s="213" t="s">
        <v>107</v>
      </c>
      <c r="BC4" s="212" t="s">
        <v>370</v>
      </c>
      <c r="BD4" s="213" t="s">
        <v>108</v>
      </c>
      <c r="BE4" s="212" t="s">
        <v>370</v>
      </c>
      <c r="BF4" s="213" t="s">
        <v>109</v>
      </c>
      <c r="BG4" s="212" t="s">
        <v>370</v>
      </c>
      <c r="BH4" s="213" t="s">
        <v>110</v>
      </c>
      <c r="BI4" s="212" t="s">
        <v>345</v>
      </c>
      <c r="BJ4" s="213" t="s">
        <v>111</v>
      </c>
      <c r="BK4" s="213" t="s">
        <v>112</v>
      </c>
      <c r="BL4" s="212" t="s">
        <v>378</v>
      </c>
      <c r="BM4" s="212" t="s">
        <v>379</v>
      </c>
      <c r="BN4" s="213" t="s">
        <v>113</v>
      </c>
      <c r="BO4" s="213" t="s">
        <v>114</v>
      </c>
      <c r="BP4" s="213" t="s">
        <v>115</v>
      </c>
      <c r="BQ4" s="213" t="s">
        <v>116</v>
      </c>
      <c r="BR4" s="213" t="s">
        <v>367</v>
      </c>
      <c r="BS4" s="212" t="s">
        <v>341</v>
      </c>
      <c r="BT4" s="212" t="s">
        <v>375</v>
      </c>
      <c r="BU4" s="212" t="s">
        <v>370</v>
      </c>
      <c r="BV4" s="213" t="s">
        <v>117</v>
      </c>
      <c r="BW4" s="213" t="s">
        <v>118</v>
      </c>
      <c r="BX4" s="213" t="s">
        <v>119</v>
      </c>
      <c r="BY4" s="212" t="s">
        <v>370</v>
      </c>
      <c r="BZ4" s="213" t="s">
        <v>120</v>
      </c>
      <c r="CA4" s="212" t="s">
        <v>341</v>
      </c>
      <c r="CB4" s="212" t="s">
        <v>340</v>
      </c>
      <c r="CC4" s="213" t="s">
        <v>121</v>
      </c>
      <c r="CD4" s="213" t="s">
        <v>122</v>
      </c>
      <c r="CE4" s="212" t="s">
        <v>370</v>
      </c>
      <c r="CF4" s="213" t="s">
        <v>123</v>
      </c>
      <c r="CG4" s="213" t="s">
        <v>368</v>
      </c>
      <c r="CH4" s="213" t="s">
        <v>124</v>
      </c>
      <c r="CI4" s="213" t="s">
        <v>125</v>
      </c>
      <c r="CJ4" s="213" t="s">
        <v>126</v>
      </c>
      <c r="CK4" s="213" t="s">
        <v>127</v>
      </c>
      <c r="CL4" s="213" t="s">
        <v>128</v>
      </c>
      <c r="CM4" s="213" t="s">
        <v>129</v>
      </c>
      <c r="CN4" s="213" t="s">
        <v>130</v>
      </c>
      <c r="CO4" s="213" t="s">
        <v>195</v>
      </c>
      <c r="CP4" s="213" t="s">
        <v>369</v>
      </c>
      <c r="CQ4" s="212" t="s">
        <v>370</v>
      </c>
      <c r="CR4" s="213" t="s">
        <v>131</v>
      </c>
      <c r="CS4" s="213" t="s">
        <v>132</v>
      </c>
      <c r="CT4" s="213"/>
      <c r="CV4" s="215"/>
      <c r="CW4" s="215"/>
      <c r="CX4" s="215" t="s">
        <v>575</v>
      </c>
      <c r="CY4" s="215" t="s">
        <v>576</v>
      </c>
      <c r="CZ4" s="215"/>
    </row>
    <row r="5" spans="1:104" ht="12.75">
      <c r="A5" s="318" t="s">
        <v>398</v>
      </c>
      <c r="B5" s="216"/>
      <c r="C5" s="212" t="s">
        <v>345</v>
      </c>
      <c r="D5" s="216"/>
      <c r="E5" s="217"/>
      <c r="F5" s="217"/>
      <c r="G5" s="217"/>
      <c r="H5" s="217"/>
      <c r="I5" s="217"/>
      <c r="J5" s="216"/>
      <c r="K5" s="217"/>
      <c r="L5" s="216"/>
      <c r="M5" s="217"/>
      <c r="N5" s="212" t="s">
        <v>345</v>
      </c>
      <c r="O5" s="212" t="s">
        <v>345</v>
      </c>
      <c r="P5" s="216"/>
      <c r="Q5" s="217"/>
      <c r="R5" s="216"/>
      <c r="S5" s="214" t="s">
        <v>345</v>
      </c>
      <c r="T5" s="216"/>
      <c r="U5" s="214" t="s">
        <v>345</v>
      </c>
      <c r="V5" s="216"/>
      <c r="W5" s="214" t="s">
        <v>345</v>
      </c>
      <c r="X5" s="214" t="s">
        <v>345</v>
      </c>
      <c r="Y5" s="216"/>
      <c r="Z5" s="217"/>
      <c r="AA5" s="216"/>
      <c r="AB5" s="212" t="s">
        <v>345</v>
      </c>
      <c r="AC5" s="216"/>
      <c r="AD5" s="216"/>
      <c r="AE5" s="212" t="s">
        <v>345</v>
      </c>
      <c r="AF5" s="216"/>
      <c r="AG5" s="216"/>
      <c r="AH5" s="216"/>
      <c r="AI5" s="216"/>
      <c r="AJ5" s="212" t="s">
        <v>345</v>
      </c>
      <c r="AK5" s="216"/>
      <c r="AL5" s="212" t="s">
        <v>345</v>
      </c>
      <c r="AM5" s="216"/>
      <c r="AN5" s="212" t="s">
        <v>345</v>
      </c>
      <c r="AO5" s="216"/>
      <c r="AP5" s="212" t="s">
        <v>345</v>
      </c>
      <c r="AQ5" s="216"/>
      <c r="AR5" s="216"/>
      <c r="AS5" s="212" t="s">
        <v>345</v>
      </c>
      <c r="AT5" s="216"/>
      <c r="AU5" s="212" t="s">
        <v>345</v>
      </c>
      <c r="AV5" s="216"/>
      <c r="AW5" s="212" t="s">
        <v>345</v>
      </c>
      <c r="AX5" s="216"/>
      <c r="AY5" s="216"/>
      <c r="AZ5" s="212" t="s">
        <v>345</v>
      </c>
      <c r="BA5" s="216"/>
      <c r="BB5" s="216"/>
      <c r="BC5" s="212" t="s">
        <v>345</v>
      </c>
      <c r="BD5" s="216"/>
      <c r="BE5" s="212" t="s">
        <v>345</v>
      </c>
      <c r="BF5" s="216"/>
      <c r="BG5" s="212" t="s">
        <v>345</v>
      </c>
      <c r="BH5" s="216"/>
      <c r="BI5" s="217"/>
      <c r="BJ5" s="216"/>
      <c r="BK5" s="216"/>
      <c r="BL5" s="212"/>
      <c r="BM5" s="212"/>
      <c r="BN5" s="216"/>
      <c r="BO5" s="216"/>
      <c r="BP5" s="216"/>
      <c r="BQ5" s="216"/>
      <c r="BR5" s="216"/>
      <c r="BS5" s="212"/>
      <c r="BT5" s="212"/>
      <c r="BU5" s="212" t="s">
        <v>345</v>
      </c>
      <c r="BV5" s="216"/>
      <c r="BW5" s="216"/>
      <c r="BX5" s="216"/>
      <c r="BY5" s="212" t="s">
        <v>345</v>
      </c>
      <c r="BZ5" s="216"/>
      <c r="CA5" s="212"/>
      <c r="CB5" s="212"/>
      <c r="CC5" s="216"/>
      <c r="CD5" s="216"/>
      <c r="CE5" s="212" t="s">
        <v>345</v>
      </c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2" t="s">
        <v>345</v>
      </c>
      <c r="CR5" s="216"/>
      <c r="CS5" s="216"/>
      <c r="CT5" s="216"/>
      <c r="CV5" s="218"/>
      <c r="CW5" s="218"/>
      <c r="CX5" s="218"/>
      <c r="CY5" s="218"/>
      <c r="CZ5" s="218"/>
    </row>
    <row r="6" spans="1:104" ht="6" customHeight="1">
      <c r="A6" s="319"/>
      <c r="B6" s="216"/>
      <c r="C6" s="217"/>
      <c r="D6" s="216"/>
      <c r="E6" s="217"/>
      <c r="F6" s="217"/>
      <c r="G6" s="217"/>
      <c r="H6" s="217"/>
      <c r="I6" s="217"/>
      <c r="J6" s="216"/>
      <c r="K6" s="217"/>
      <c r="L6" s="216"/>
      <c r="M6" s="217"/>
      <c r="N6" s="217"/>
      <c r="O6" s="217"/>
      <c r="P6" s="216"/>
      <c r="Q6" s="217"/>
      <c r="R6" s="216"/>
      <c r="S6" s="217"/>
      <c r="T6" s="216"/>
      <c r="U6" s="217"/>
      <c r="V6" s="216"/>
      <c r="W6" s="217"/>
      <c r="X6" s="217"/>
      <c r="Y6" s="216"/>
      <c r="Z6" s="217"/>
      <c r="AA6" s="216"/>
      <c r="AB6" s="217"/>
      <c r="AC6" s="216"/>
      <c r="AD6" s="216"/>
      <c r="AE6" s="217"/>
      <c r="AF6" s="216"/>
      <c r="AG6" s="216"/>
      <c r="AH6" s="216"/>
      <c r="AI6" s="216"/>
      <c r="AJ6" s="217"/>
      <c r="AK6" s="216"/>
      <c r="AL6" s="217"/>
      <c r="AM6" s="216"/>
      <c r="AN6" s="217"/>
      <c r="AO6" s="216"/>
      <c r="AP6" s="217"/>
      <c r="AQ6" s="216"/>
      <c r="AR6" s="216"/>
      <c r="AS6" s="217"/>
      <c r="AT6" s="216"/>
      <c r="AU6" s="217"/>
      <c r="AV6" s="216"/>
      <c r="AW6" s="217"/>
      <c r="AX6" s="216"/>
      <c r="AY6" s="216"/>
      <c r="AZ6" s="217"/>
      <c r="BA6" s="216"/>
      <c r="BB6" s="216"/>
      <c r="BC6" s="217"/>
      <c r="BD6" s="216"/>
      <c r="BE6" s="217"/>
      <c r="BF6" s="216"/>
      <c r="BG6" s="217"/>
      <c r="BH6" s="216"/>
      <c r="BI6" s="217"/>
      <c r="BJ6" s="216"/>
      <c r="BK6" s="216"/>
      <c r="BL6" s="217"/>
      <c r="BM6" s="217"/>
      <c r="BN6" s="216"/>
      <c r="BO6" s="216"/>
      <c r="BP6" s="216"/>
      <c r="BQ6" s="216"/>
      <c r="BR6" s="216"/>
      <c r="BS6" s="217"/>
      <c r="BT6" s="217"/>
      <c r="BU6" s="217"/>
      <c r="BV6" s="216"/>
      <c r="BW6" s="216"/>
      <c r="BX6" s="216"/>
      <c r="BY6" s="217"/>
      <c r="BZ6" s="216"/>
      <c r="CA6" s="217"/>
      <c r="CB6" s="217"/>
      <c r="CC6" s="216"/>
      <c r="CD6" s="216"/>
      <c r="CE6" s="217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7"/>
      <c r="CR6" s="216"/>
      <c r="CS6" s="216"/>
      <c r="CT6" s="216"/>
      <c r="CV6" s="218"/>
      <c r="CW6" s="218"/>
      <c r="CX6" s="218"/>
      <c r="CY6" s="218"/>
      <c r="CZ6" s="218"/>
    </row>
    <row r="7" spans="1:104" ht="15" customHeight="1">
      <c r="A7" s="318" t="s">
        <v>399</v>
      </c>
      <c r="B7" s="93">
        <v>0</v>
      </c>
      <c r="C7" s="219"/>
      <c r="D7" s="93">
        <v>0</v>
      </c>
      <c r="E7" s="219">
        <v>0</v>
      </c>
      <c r="F7" s="219">
        <v>0</v>
      </c>
      <c r="G7" s="219">
        <v>0</v>
      </c>
      <c r="H7" s="219">
        <v>0</v>
      </c>
      <c r="I7" s="219">
        <v>0</v>
      </c>
      <c r="J7" s="93">
        <v>0</v>
      </c>
      <c r="K7" s="219">
        <v>0</v>
      </c>
      <c r="L7" s="93">
        <v>0</v>
      </c>
      <c r="M7" s="219">
        <v>0</v>
      </c>
      <c r="N7" s="219">
        <v>0</v>
      </c>
      <c r="O7" s="219">
        <v>0</v>
      </c>
      <c r="P7" s="219">
        <v>0</v>
      </c>
      <c r="Q7" s="219">
        <v>0</v>
      </c>
      <c r="R7" s="93">
        <v>0</v>
      </c>
      <c r="S7" s="219">
        <v>0</v>
      </c>
      <c r="T7" s="93">
        <v>0</v>
      </c>
      <c r="U7" s="219">
        <v>0</v>
      </c>
      <c r="V7" s="93">
        <v>0</v>
      </c>
      <c r="W7" s="219">
        <v>0</v>
      </c>
      <c r="X7" s="219">
        <v>0</v>
      </c>
      <c r="Y7" s="93">
        <v>0</v>
      </c>
      <c r="Z7" s="219"/>
      <c r="AA7" s="93">
        <v>0</v>
      </c>
      <c r="AB7" s="219"/>
      <c r="AC7" s="93">
        <v>0</v>
      </c>
      <c r="AD7" s="93">
        <v>0</v>
      </c>
      <c r="AE7" s="219"/>
      <c r="AF7" s="93">
        <v>0</v>
      </c>
      <c r="AG7" s="93">
        <v>0</v>
      </c>
      <c r="AH7" s="93">
        <v>0</v>
      </c>
      <c r="AI7" s="93">
        <v>0</v>
      </c>
      <c r="AJ7" s="219">
        <v>0</v>
      </c>
      <c r="AK7" s="93">
        <v>0</v>
      </c>
      <c r="AL7" s="219">
        <v>0</v>
      </c>
      <c r="AM7" s="93">
        <v>0</v>
      </c>
      <c r="AN7" s="219"/>
      <c r="AO7" s="93">
        <v>0</v>
      </c>
      <c r="AP7" s="219"/>
      <c r="AQ7" s="93">
        <v>0</v>
      </c>
      <c r="AR7" s="93">
        <v>0</v>
      </c>
      <c r="AS7" s="219">
        <v>0</v>
      </c>
      <c r="AT7" s="93">
        <v>0</v>
      </c>
      <c r="AU7" s="219">
        <v>0</v>
      </c>
      <c r="AV7" s="93">
        <v>0</v>
      </c>
      <c r="AW7" s="219"/>
      <c r="AX7" s="93">
        <v>0</v>
      </c>
      <c r="AY7" s="93">
        <v>0</v>
      </c>
      <c r="AZ7" s="219"/>
      <c r="BA7" s="93">
        <v>0</v>
      </c>
      <c r="BB7" s="93">
        <v>0</v>
      </c>
      <c r="BC7" s="219">
        <v>0</v>
      </c>
      <c r="BD7" s="93">
        <v>0</v>
      </c>
      <c r="BE7" s="219"/>
      <c r="BF7" s="93">
        <v>0</v>
      </c>
      <c r="BG7" s="219"/>
      <c r="BH7" s="93">
        <v>0</v>
      </c>
      <c r="BI7" s="219"/>
      <c r="BJ7" s="93">
        <v>0</v>
      </c>
      <c r="BK7" s="93">
        <v>0</v>
      </c>
      <c r="BL7" s="219">
        <v>0</v>
      </c>
      <c r="BM7" s="219">
        <v>0</v>
      </c>
      <c r="BN7" s="93">
        <v>0</v>
      </c>
      <c r="BO7" s="93">
        <v>0</v>
      </c>
      <c r="BP7" s="93">
        <v>0</v>
      </c>
      <c r="BQ7" s="93">
        <v>0</v>
      </c>
      <c r="BR7" s="93">
        <v>0</v>
      </c>
      <c r="BS7" s="219">
        <v>0</v>
      </c>
      <c r="BT7" s="219">
        <v>0</v>
      </c>
      <c r="BU7" s="219">
        <v>0</v>
      </c>
      <c r="BV7" s="93">
        <v>0</v>
      </c>
      <c r="BW7" s="93">
        <v>0</v>
      </c>
      <c r="BX7" s="93">
        <v>0</v>
      </c>
      <c r="BY7" s="219">
        <v>0</v>
      </c>
      <c r="BZ7" s="93">
        <v>0</v>
      </c>
      <c r="CA7" s="219">
        <v>0</v>
      </c>
      <c r="CB7" s="219">
        <v>0</v>
      </c>
      <c r="CC7" s="93">
        <v>0</v>
      </c>
      <c r="CD7" s="93">
        <v>0</v>
      </c>
      <c r="CE7" s="219"/>
      <c r="CF7" s="93">
        <v>0</v>
      </c>
      <c r="CG7" s="93">
        <v>0</v>
      </c>
      <c r="CH7" s="93">
        <v>0</v>
      </c>
      <c r="CI7" s="93">
        <v>0</v>
      </c>
      <c r="CJ7" s="93">
        <v>0</v>
      </c>
      <c r="CK7" s="93">
        <v>0</v>
      </c>
      <c r="CL7" s="93">
        <v>0</v>
      </c>
      <c r="CM7" s="93">
        <v>0</v>
      </c>
      <c r="CN7" s="93">
        <v>0</v>
      </c>
      <c r="CO7" s="93">
        <v>0</v>
      </c>
      <c r="CP7" s="93">
        <v>0</v>
      </c>
      <c r="CQ7" s="219"/>
      <c r="CR7" s="93">
        <v>0</v>
      </c>
      <c r="CS7" s="93">
        <v>0</v>
      </c>
      <c r="CT7" s="93"/>
      <c r="CV7" s="93">
        <f>+B7+D7+J7+L7+P7+R7+T7+V7+Y7+AA7+AC7+AD7+AF7+AG7+AH7+AI7+AK7+AM7+AO7+AQ7+AR7+AT7+AV7+AX7+AY7+BA7+BB7+BD7+BF7+BH7+BJ7+BK7+BN7+BO7+BP7+BQ7+BR7+BV7+BW7+BX7+BZ7+CC7+CD7+CF7+CG7+CH7+CI7+CJ7+CK7+CL7+CM7+CN7+CO7+CP7+CR7+CS7</f>
        <v>0</v>
      </c>
      <c r="CW7" s="93"/>
      <c r="CX7" s="93">
        <f>+D7+AQ7+BJ7+BN7+BR7+BW7+BZ7+CF7+CG7+CJ7+CM7+CN7+CO7+CR7</f>
        <v>0</v>
      </c>
      <c r="CY7" s="93">
        <f>+B7+J7+L7+P7+R7+T7+V7+Y7+AA7+AC7+AD7+AF7+AG7+AH7+AI7+AK7+AM7+AO7+AR7+AT7+AV7+AX7+AY7+BA7+BB7+BD7+BF7+BH7+BK7+BO7+BP7+BQ7+BV7+BX7+CC7+CD7+CH7+CI7+CK7+CL7+CP7+CS7</f>
        <v>0</v>
      </c>
      <c r="CZ7" s="93"/>
    </row>
    <row r="8" spans="1:103" ht="8.25" customHeight="1">
      <c r="A8" s="319"/>
      <c r="CV8" s="93"/>
      <c r="CW8" s="93"/>
      <c r="CX8" s="93"/>
      <c r="CY8" s="93"/>
    </row>
    <row r="9" spans="1:103" ht="12.75">
      <c r="A9" s="318" t="s">
        <v>400</v>
      </c>
      <c r="CV9" s="93"/>
      <c r="CW9" s="93"/>
      <c r="CX9" s="93"/>
      <c r="CY9" s="93"/>
    </row>
    <row r="10" spans="1:104" ht="12.75">
      <c r="A10" s="319" t="s">
        <v>401</v>
      </c>
      <c r="B10" s="204">
        <v>222994.481</v>
      </c>
      <c r="C10" s="220"/>
      <c r="D10" s="204">
        <v>132713</v>
      </c>
      <c r="E10" s="220">
        <v>66356</v>
      </c>
      <c r="F10" s="220">
        <v>66356</v>
      </c>
      <c r="G10" s="220">
        <v>0</v>
      </c>
      <c r="H10" s="220">
        <v>0</v>
      </c>
      <c r="I10" s="220">
        <v>0</v>
      </c>
      <c r="J10" s="204">
        <v>203437.342</v>
      </c>
      <c r="K10" s="220">
        <v>0</v>
      </c>
      <c r="L10" s="204">
        <v>105426</v>
      </c>
      <c r="M10" s="220">
        <v>105425.624</v>
      </c>
      <c r="N10" s="220">
        <v>0</v>
      </c>
      <c r="O10" s="220">
        <v>0</v>
      </c>
      <c r="P10" s="204">
        <v>38941.207</v>
      </c>
      <c r="Q10" s="220">
        <v>0</v>
      </c>
      <c r="R10" s="204">
        <v>0</v>
      </c>
      <c r="S10" s="220">
        <v>0</v>
      </c>
      <c r="T10" s="204">
        <v>0</v>
      </c>
      <c r="U10" s="220">
        <v>0</v>
      </c>
      <c r="V10" s="204">
        <v>0</v>
      </c>
      <c r="W10" s="220">
        <v>0</v>
      </c>
      <c r="X10" s="220">
        <v>0</v>
      </c>
      <c r="Y10" s="204">
        <v>69642.491</v>
      </c>
      <c r="Z10" s="220"/>
      <c r="AA10" s="204">
        <v>65412.881</v>
      </c>
      <c r="AB10" s="220"/>
      <c r="AC10" s="204">
        <v>28765.262</v>
      </c>
      <c r="AD10" s="204">
        <v>11109.683</v>
      </c>
      <c r="AE10" s="220"/>
      <c r="AF10" s="204">
        <v>0</v>
      </c>
      <c r="AG10" s="204">
        <v>0</v>
      </c>
      <c r="AH10" s="204">
        <v>0</v>
      </c>
      <c r="AI10" s="204">
        <v>0</v>
      </c>
      <c r="AJ10" s="220">
        <v>0</v>
      </c>
      <c r="AK10" s="204">
        <v>25336.837</v>
      </c>
      <c r="AL10" s="220">
        <v>0</v>
      </c>
      <c r="AM10" s="204">
        <v>0</v>
      </c>
      <c r="AN10" s="220"/>
      <c r="AO10" s="204">
        <v>0</v>
      </c>
      <c r="AP10" s="220"/>
      <c r="AQ10" s="204">
        <v>14745.872</v>
      </c>
      <c r="AR10" s="204">
        <v>0</v>
      </c>
      <c r="AS10" s="220">
        <v>0</v>
      </c>
      <c r="AT10" s="204">
        <v>0</v>
      </c>
      <c r="AU10" s="220">
        <v>0</v>
      </c>
      <c r="AV10" s="204">
        <v>0</v>
      </c>
      <c r="AW10" s="220"/>
      <c r="AX10" s="204">
        <v>0</v>
      </c>
      <c r="AY10" s="204">
        <v>0</v>
      </c>
      <c r="AZ10" s="220"/>
      <c r="BA10" s="204">
        <v>6015.009</v>
      </c>
      <c r="BB10" s="204">
        <v>0</v>
      </c>
      <c r="BC10" s="220">
        <v>0</v>
      </c>
      <c r="BD10" s="204">
        <v>0</v>
      </c>
      <c r="BE10" s="220"/>
      <c r="BF10" s="204">
        <v>2342.192</v>
      </c>
      <c r="BG10" s="220"/>
      <c r="BH10" s="204">
        <v>0</v>
      </c>
      <c r="BI10" s="220"/>
      <c r="BJ10" s="204">
        <v>0</v>
      </c>
      <c r="BK10" s="204">
        <v>0</v>
      </c>
      <c r="BL10" s="220">
        <v>0</v>
      </c>
      <c r="BM10" s="220">
        <v>0</v>
      </c>
      <c r="BN10" s="204">
        <v>0</v>
      </c>
      <c r="BO10" s="204">
        <v>0</v>
      </c>
      <c r="BP10" s="204">
        <v>0</v>
      </c>
      <c r="BQ10" s="204">
        <v>10190.696</v>
      </c>
      <c r="BR10" s="204">
        <v>0</v>
      </c>
      <c r="BS10" s="220">
        <v>0</v>
      </c>
      <c r="BT10" s="220">
        <v>0</v>
      </c>
      <c r="BU10" s="220">
        <v>0</v>
      </c>
      <c r="BV10" s="204">
        <v>0</v>
      </c>
      <c r="BW10" s="204">
        <v>0</v>
      </c>
      <c r="BX10" s="204">
        <v>0</v>
      </c>
      <c r="BY10" s="220">
        <v>0</v>
      </c>
      <c r="BZ10" s="204">
        <v>0</v>
      </c>
      <c r="CA10" s="220">
        <v>0</v>
      </c>
      <c r="CB10" s="220">
        <v>0</v>
      </c>
      <c r="CC10" s="204">
        <v>0</v>
      </c>
      <c r="CD10" s="204">
        <v>0</v>
      </c>
      <c r="CE10" s="220"/>
      <c r="CF10" s="204">
        <v>0</v>
      </c>
      <c r="CG10" s="204">
        <v>0</v>
      </c>
      <c r="CH10" s="204">
        <v>0</v>
      </c>
      <c r="CI10" s="204">
        <v>0</v>
      </c>
      <c r="CJ10" s="204">
        <v>0</v>
      </c>
      <c r="CK10" s="204">
        <v>0</v>
      </c>
      <c r="CL10" s="204">
        <v>0</v>
      </c>
      <c r="CM10" s="204">
        <v>0</v>
      </c>
      <c r="CN10" s="204">
        <v>0</v>
      </c>
      <c r="CO10" s="204">
        <v>0</v>
      </c>
      <c r="CP10" s="204">
        <v>0</v>
      </c>
      <c r="CQ10" s="220"/>
      <c r="CR10" s="204">
        <v>0</v>
      </c>
      <c r="CS10" s="204">
        <v>0</v>
      </c>
      <c r="CT10" s="204"/>
      <c r="CV10" s="93">
        <f aca="true" t="shared" si="0" ref="CV10:CV58">+B10+D10+J10+L10+P10+R10+T10+V10+Y10+AA10+AC10+AD10+AF10+AG10+AH10+AI10+AK10+AM10+AO10+AQ10+AR10+AT10+AV10+AX10+AY10+BA10+BB10+BD10+BF10+BH10+BJ10+BK10+BN10+BO10+BP10+BQ10+BR10+BV10+BW10+BX10+BZ10+CC10+CD10+CF10+CG10+CH10+CI10+CJ10+CK10+CL10+CM10+CN10+CO10+CP10+CR10+CS10</f>
        <v>937072.9530000001</v>
      </c>
      <c r="CW10" s="93"/>
      <c r="CX10" s="93">
        <f aca="true" t="shared" si="1" ref="CX10:CX58">+D10+AQ10+BJ10+BN10+BR10+BW10+BZ10+CF10+CG10+CJ10+CM10+CN10+CO10+CR10</f>
        <v>147458.872</v>
      </c>
      <c r="CY10" s="93">
        <f aca="true" t="shared" si="2" ref="CY10:CY58">+B10+J10+L10+P10+R10+T10+V10+Y10+AA10+AC10+AD10+AF10+AG10+AH10+AI10+AK10+AM10+AO10+AR10+AT10+AV10+AX10+AY10+BA10+BB10+BD10+BF10+BH10+BK10+BO10+BP10+BQ10+BV10+BX10+CC10+CD10+CH10+CI10+CK10+CL10+CP10+CS10</f>
        <v>789614.0810000001</v>
      </c>
      <c r="CZ10" s="204"/>
    </row>
    <row r="11" spans="1:104" ht="12.75">
      <c r="A11" s="168" t="s">
        <v>402</v>
      </c>
      <c r="B11" s="204">
        <v>0</v>
      </c>
      <c r="C11" s="220"/>
      <c r="D11" s="204">
        <v>0</v>
      </c>
      <c r="E11" s="220">
        <v>0</v>
      </c>
      <c r="F11" s="220">
        <v>0</v>
      </c>
      <c r="G11" s="220">
        <v>0</v>
      </c>
      <c r="H11" s="220">
        <v>0</v>
      </c>
      <c r="I11" s="220">
        <v>0</v>
      </c>
      <c r="J11" s="204">
        <v>61244.744</v>
      </c>
      <c r="K11" s="220">
        <v>0</v>
      </c>
      <c r="L11" s="204">
        <v>82996</v>
      </c>
      <c r="M11" s="220">
        <v>82996</v>
      </c>
      <c r="N11" s="220">
        <v>0</v>
      </c>
      <c r="O11" s="220">
        <v>0</v>
      </c>
      <c r="P11" s="204">
        <v>0</v>
      </c>
      <c r="Q11" s="220">
        <v>0</v>
      </c>
      <c r="R11" s="204">
        <v>0</v>
      </c>
      <c r="S11" s="220">
        <v>0</v>
      </c>
      <c r="T11" s="204">
        <v>0</v>
      </c>
      <c r="U11" s="220">
        <v>0</v>
      </c>
      <c r="V11" s="204">
        <v>0</v>
      </c>
      <c r="W11" s="220">
        <v>0</v>
      </c>
      <c r="X11" s="220">
        <v>0</v>
      </c>
      <c r="Y11" s="204">
        <v>0</v>
      </c>
      <c r="Z11" s="220"/>
      <c r="AA11" s="204">
        <v>0</v>
      </c>
      <c r="AB11" s="220"/>
      <c r="AC11" s="204">
        <v>0</v>
      </c>
      <c r="AD11" s="204">
        <v>0</v>
      </c>
      <c r="AE11" s="220"/>
      <c r="AF11" s="204">
        <v>0</v>
      </c>
      <c r="AG11" s="204">
        <v>0</v>
      </c>
      <c r="AH11" s="204">
        <v>0</v>
      </c>
      <c r="AI11" s="204">
        <v>0</v>
      </c>
      <c r="AJ11" s="220">
        <v>0</v>
      </c>
      <c r="AK11" s="204">
        <v>0</v>
      </c>
      <c r="AL11" s="220">
        <v>0</v>
      </c>
      <c r="AM11" s="204">
        <v>0</v>
      </c>
      <c r="AN11" s="220"/>
      <c r="AO11" s="204">
        <v>0</v>
      </c>
      <c r="AP11" s="220"/>
      <c r="AQ11" s="204">
        <v>0</v>
      </c>
      <c r="AR11" s="204">
        <v>29849.045</v>
      </c>
      <c r="AS11" s="220">
        <v>0</v>
      </c>
      <c r="AT11" s="204">
        <v>0</v>
      </c>
      <c r="AU11" s="220">
        <v>0</v>
      </c>
      <c r="AV11" s="204">
        <v>0</v>
      </c>
      <c r="AW11" s="220"/>
      <c r="AX11" s="204">
        <v>0</v>
      </c>
      <c r="AY11" s="204">
        <v>0</v>
      </c>
      <c r="AZ11" s="220"/>
      <c r="BA11" s="204">
        <v>0</v>
      </c>
      <c r="BB11" s="204">
        <v>0</v>
      </c>
      <c r="BC11" s="220">
        <v>0</v>
      </c>
      <c r="BD11" s="204">
        <v>0</v>
      </c>
      <c r="BE11" s="220"/>
      <c r="BF11" s="204">
        <v>0</v>
      </c>
      <c r="BG11" s="220"/>
      <c r="BH11" s="204">
        <v>0</v>
      </c>
      <c r="BI11" s="220"/>
      <c r="BJ11" s="204">
        <v>0</v>
      </c>
      <c r="BK11" s="204">
        <v>0</v>
      </c>
      <c r="BL11" s="220">
        <v>0</v>
      </c>
      <c r="BM11" s="220">
        <v>0</v>
      </c>
      <c r="BN11" s="204">
        <v>0</v>
      </c>
      <c r="BO11" s="204">
        <v>0</v>
      </c>
      <c r="BP11" s="204">
        <v>0</v>
      </c>
      <c r="BQ11" s="204">
        <v>0</v>
      </c>
      <c r="BR11" s="204">
        <v>0</v>
      </c>
      <c r="BS11" s="220">
        <v>0</v>
      </c>
      <c r="BT11" s="220">
        <v>0</v>
      </c>
      <c r="BU11" s="220">
        <v>0</v>
      </c>
      <c r="BV11" s="204">
        <v>0</v>
      </c>
      <c r="BW11" s="204">
        <v>0</v>
      </c>
      <c r="BX11" s="204">
        <v>0</v>
      </c>
      <c r="BY11" s="220">
        <v>0</v>
      </c>
      <c r="BZ11" s="204">
        <v>0</v>
      </c>
      <c r="CA11" s="220">
        <v>0</v>
      </c>
      <c r="CB11" s="220">
        <v>0</v>
      </c>
      <c r="CC11" s="204">
        <v>0</v>
      </c>
      <c r="CD11" s="204">
        <v>0</v>
      </c>
      <c r="CE11" s="220"/>
      <c r="CF11" s="204">
        <v>0</v>
      </c>
      <c r="CG11" s="204">
        <v>0</v>
      </c>
      <c r="CH11" s="204">
        <v>0</v>
      </c>
      <c r="CI11" s="204">
        <v>0</v>
      </c>
      <c r="CJ11" s="204">
        <v>0</v>
      </c>
      <c r="CK11" s="204">
        <v>0</v>
      </c>
      <c r="CL11" s="204">
        <v>0</v>
      </c>
      <c r="CM11" s="204">
        <v>0</v>
      </c>
      <c r="CN11" s="204">
        <v>0</v>
      </c>
      <c r="CO11" s="204">
        <v>0</v>
      </c>
      <c r="CP11" s="204">
        <v>0</v>
      </c>
      <c r="CQ11" s="220"/>
      <c r="CR11" s="204">
        <v>0</v>
      </c>
      <c r="CS11" s="204">
        <v>0</v>
      </c>
      <c r="CT11" s="204"/>
      <c r="CV11" s="93">
        <f t="shared" si="0"/>
        <v>174089.789</v>
      </c>
      <c r="CW11" s="93"/>
      <c r="CX11" s="93">
        <f t="shared" si="1"/>
        <v>0</v>
      </c>
      <c r="CY11" s="93">
        <f t="shared" si="2"/>
        <v>174089.789</v>
      </c>
      <c r="CZ11" s="204"/>
    </row>
    <row r="12" spans="1:104" ht="12.75">
      <c r="A12" s="168" t="s">
        <v>403</v>
      </c>
      <c r="B12" s="204">
        <v>0</v>
      </c>
      <c r="C12" s="220"/>
      <c r="D12" s="204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04">
        <v>0</v>
      </c>
      <c r="K12" s="220">
        <v>0</v>
      </c>
      <c r="L12" s="204">
        <v>0</v>
      </c>
      <c r="M12" s="220">
        <v>0</v>
      </c>
      <c r="N12" s="220">
        <v>0</v>
      </c>
      <c r="O12" s="220">
        <v>0</v>
      </c>
      <c r="P12" s="204">
        <v>0</v>
      </c>
      <c r="Q12" s="220">
        <v>0</v>
      </c>
      <c r="R12" s="204">
        <v>0</v>
      </c>
      <c r="S12" s="220">
        <v>0</v>
      </c>
      <c r="T12" s="204">
        <v>0</v>
      </c>
      <c r="U12" s="220">
        <v>0</v>
      </c>
      <c r="V12" s="204">
        <v>0</v>
      </c>
      <c r="W12" s="220">
        <v>0</v>
      </c>
      <c r="X12" s="220">
        <v>0</v>
      </c>
      <c r="Y12" s="204">
        <v>0</v>
      </c>
      <c r="Z12" s="220"/>
      <c r="AA12" s="204">
        <v>0</v>
      </c>
      <c r="AB12" s="220"/>
      <c r="AC12" s="204">
        <v>0</v>
      </c>
      <c r="AD12" s="204">
        <v>0</v>
      </c>
      <c r="AE12" s="220"/>
      <c r="AF12" s="204">
        <v>0</v>
      </c>
      <c r="AG12" s="204">
        <v>0</v>
      </c>
      <c r="AH12" s="204">
        <v>0</v>
      </c>
      <c r="AI12" s="204">
        <v>0</v>
      </c>
      <c r="AJ12" s="220">
        <v>0</v>
      </c>
      <c r="AK12" s="204">
        <v>0</v>
      </c>
      <c r="AL12" s="220">
        <v>0</v>
      </c>
      <c r="AM12" s="204">
        <v>0</v>
      </c>
      <c r="AN12" s="220"/>
      <c r="AO12" s="204">
        <v>0</v>
      </c>
      <c r="AP12" s="220"/>
      <c r="AQ12" s="204">
        <v>0</v>
      </c>
      <c r="AR12" s="204">
        <v>0</v>
      </c>
      <c r="AS12" s="220">
        <v>0</v>
      </c>
      <c r="AT12" s="204">
        <v>0</v>
      </c>
      <c r="AU12" s="220">
        <v>0</v>
      </c>
      <c r="AV12" s="204">
        <v>0</v>
      </c>
      <c r="AW12" s="220"/>
      <c r="AX12" s="204">
        <v>0</v>
      </c>
      <c r="AY12" s="204">
        <v>0</v>
      </c>
      <c r="AZ12" s="220"/>
      <c r="BA12" s="204">
        <v>0</v>
      </c>
      <c r="BB12" s="204">
        <v>0</v>
      </c>
      <c r="BC12" s="220">
        <v>0</v>
      </c>
      <c r="BD12" s="204">
        <v>0</v>
      </c>
      <c r="BE12" s="220"/>
      <c r="BF12" s="204">
        <v>0</v>
      </c>
      <c r="BG12" s="220"/>
      <c r="BH12" s="204">
        <v>0</v>
      </c>
      <c r="BI12" s="220"/>
      <c r="BJ12" s="204">
        <v>0</v>
      </c>
      <c r="BK12" s="204">
        <v>0</v>
      </c>
      <c r="BL12" s="220">
        <v>0</v>
      </c>
      <c r="BM12" s="220">
        <v>0</v>
      </c>
      <c r="BN12" s="204">
        <v>0</v>
      </c>
      <c r="BO12" s="204">
        <v>0</v>
      </c>
      <c r="BP12" s="204">
        <v>0</v>
      </c>
      <c r="BQ12" s="204">
        <v>0</v>
      </c>
      <c r="BR12" s="204">
        <v>0</v>
      </c>
      <c r="BS12" s="220">
        <v>0</v>
      </c>
      <c r="BT12" s="220">
        <v>0</v>
      </c>
      <c r="BU12" s="220">
        <v>0</v>
      </c>
      <c r="BV12" s="204">
        <v>0</v>
      </c>
      <c r="BW12" s="204">
        <v>0</v>
      </c>
      <c r="BX12" s="204">
        <v>0</v>
      </c>
      <c r="BY12" s="220">
        <v>0</v>
      </c>
      <c r="BZ12" s="204">
        <v>0</v>
      </c>
      <c r="CA12" s="220">
        <v>0</v>
      </c>
      <c r="CB12" s="220">
        <v>0</v>
      </c>
      <c r="CC12" s="204">
        <v>0</v>
      </c>
      <c r="CD12" s="204">
        <v>0</v>
      </c>
      <c r="CE12" s="220"/>
      <c r="CF12" s="204">
        <v>0</v>
      </c>
      <c r="CG12" s="204">
        <v>0</v>
      </c>
      <c r="CH12" s="204">
        <v>0</v>
      </c>
      <c r="CI12" s="204">
        <v>0</v>
      </c>
      <c r="CJ12" s="204">
        <v>0</v>
      </c>
      <c r="CK12" s="204">
        <v>0</v>
      </c>
      <c r="CL12" s="204">
        <v>0</v>
      </c>
      <c r="CM12" s="204">
        <v>0</v>
      </c>
      <c r="CN12" s="204">
        <v>0</v>
      </c>
      <c r="CO12" s="204">
        <v>0</v>
      </c>
      <c r="CP12" s="204">
        <v>0</v>
      </c>
      <c r="CQ12" s="220"/>
      <c r="CR12" s="204">
        <v>0</v>
      </c>
      <c r="CS12" s="204">
        <v>0</v>
      </c>
      <c r="CT12" s="204"/>
      <c r="CV12" s="93">
        <f t="shared" si="0"/>
        <v>0</v>
      </c>
      <c r="CW12" s="93"/>
      <c r="CX12" s="93">
        <f t="shared" si="1"/>
        <v>0</v>
      </c>
      <c r="CY12" s="93">
        <f t="shared" si="2"/>
        <v>0</v>
      </c>
      <c r="CZ12" s="204"/>
    </row>
    <row r="13" spans="1:104" ht="12.75">
      <c r="A13" s="168" t="s">
        <v>404</v>
      </c>
      <c r="B13" s="204">
        <v>0</v>
      </c>
      <c r="C13" s="220"/>
      <c r="D13" s="204">
        <v>0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04">
        <v>0</v>
      </c>
      <c r="K13" s="220">
        <v>0</v>
      </c>
      <c r="L13" s="204">
        <v>44543</v>
      </c>
      <c r="M13" s="220">
        <v>44542.541</v>
      </c>
      <c r="N13" s="220">
        <v>0</v>
      </c>
      <c r="O13" s="220">
        <v>0</v>
      </c>
      <c r="P13" s="204">
        <v>0</v>
      </c>
      <c r="Q13" s="220">
        <v>0</v>
      </c>
      <c r="R13" s="204">
        <v>0</v>
      </c>
      <c r="S13" s="220">
        <v>0</v>
      </c>
      <c r="T13" s="204">
        <v>0</v>
      </c>
      <c r="U13" s="220">
        <v>0</v>
      </c>
      <c r="V13" s="204">
        <v>0</v>
      </c>
      <c r="W13" s="220">
        <v>0</v>
      </c>
      <c r="X13" s="220">
        <v>0</v>
      </c>
      <c r="Y13" s="204">
        <v>0</v>
      </c>
      <c r="Z13" s="220"/>
      <c r="AA13" s="204">
        <v>0</v>
      </c>
      <c r="AB13" s="220"/>
      <c r="AC13" s="204">
        <v>0</v>
      </c>
      <c r="AD13" s="204">
        <v>0</v>
      </c>
      <c r="AE13" s="220"/>
      <c r="AF13" s="204">
        <v>0</v>
      </c>
      <c r="AG13" s="204">
        <v>0</v>
      </c>
      <c r="AH13" s="204">
        <v>0</v>
      </c>
      <c r="AI13" s="204">
        <v>0</v>
      </c>
      <c r="AJ13" s="220">
        <v>0</v>
      </c>
      <c r="AK13" s="204">
        <v>0</v>
      </c>
      <c r="AL13" s="220">
        <v>0</v>
      </c>
      <c r="AM13" s="204">
        <v>0</v>
      </c>
      <c r="AN13" s="220"/>
      <c r="AO13" s="204">
        <v>0</v>
      </c>
      <c r="AP13" s="220"/>
      <c r="AQ13" s="204">
        <v>0</v>
      </c>
      <c r="AR13" s="204">
        <v>0</v>
      </c>
      <c r="AS13" s="220">
        <v>0</v>
      </c>
      <c r="AT13" s="204">
        <v>0</v>
      </c>
      <c r="AU13" s="220">
        <v>0</v>
      </c>
      <c r="AV13" s="204">
        <v>0</v>
      </c>
      <c r="AW13" s="220"/>
      <c r="AX13" s="204">
        <v>0</v>
      </c>
      <c r="AY13" s="204">
        <v>0</v>
      </c>
      <c r="AZ13" s="220"/>
      <c r="BA13" s="204">
        <v>0</v>
      </c>
      <c r="BB13" s="204">
        <v>0</v>
      </c>
      <c r="BC13" s="220">
        <v>0</v>
      </c>
      <c r="BD13" s="204">
        <v>0</v>
      </c>
      <c r="BE13" s="220"/>
      <c r="BF13" s="204">
        <v>0</v>
      </c>
      <c r="BG13" s="220"/>
      <c r="BH13" s="204">
        <v>0</v>
      </c>
      <c r="BI13" s="220"/>
      <c r="BJ13" s="204">
        <v>0</v>
      </c>
      <c r="BK13" s="204">
        <v>0</v>
      </c>
      <c r="BL13" s="220">
        <v>0</v>
      </c>
      <c r="BM13" s="220">
        <v>0</v>
      </c>
      <c r="BN13" s="204">
        <v>0</v>
      </c>
      <c r="BO13" s="204">
        <v>0</v>
      </c>
      <c r="BP13" s="204">
        <v>0</v>
      </c>
      <c r="BQ13" s="204">
        <v>0</v>
      </c>
      <c r="BR13" s="204">
        <v>0</v>
      </c>
      <c r="BS13" s="220">
        <v>0</v>
      </c>
      <c r="BT13" s="220">
        <v>0</v>
      </c>
      <c r="BU13" s="220">
        <v>0</v>
      </c>
      <c r="BV13" s="204">
        <v>0</v>
      </c>
      <c r="BW13" s="204">
        <v>0</v>
      </c>
      <c r="BX13" s="204">
        <v>0</v>
      </c>
      <c r="BY13" s="220">
        <v>0</v>
      </c>
      <c r="BZ13" s="204">
        <v>0</v>
      </c>
      <c r="CA13" s="220">
        <v>0</v>
      </c>
      <c r="CB13" s="220">
        <v>0</v>
      </c>
      <c r="CC13" s="204">
        <v>0</v>
      </c>
      <c r="CD13" s="204">
        <v>0</v>
      </c>
      <c r="CE13" s="220"/>
      <c r="CF13" s="204">
        <v>0</v>
      </c>
      <c r="CG13" s="204">
        <v>0</v>
      </c>
      <c r="CH13" s="204">
        <v>0</v>
      </c>
      <c r="CI13" s="204">
        <v>0</v>
      </c>
      <c r="CJ13" s="204">
        <v>0</v>
      </c>
      <c r="CK13" s="204">
        <v>0</v>
      </c>
      <c r="CL13" s="204">
        <v>0</v>
      </c>
      <c r="CM13" s="204">
        <v>0</v>
      </c>
      <c r="CN13" s="204">
        <v>0</v>
      </c>
      <c r="CO13" s="204">
        <v>0</v>
      </c>
      <c r="CP13" s="204">
        <v>0</v>
      </c>
      <c r="CQ13" s="220"/>
      <c r="CR13" s="204">
        <v>0</v>
      </c>
      <c r="CS13" s="204">
        <v>0</v>
      </c>
      <c r="CT13" s="204"/>
      <c r="CV13" s="93">
        <f t="shared" si="0"/>
        <v>44543</v>
      </c>
      <c r="CW13" s="93"/>
      <c r="CX13" s="93">
        <f t="shared" si="1"/>
        <v>0</v>
      </c>
      <c r="CY13" s="93">
        <f t="shared" si="2"/>
        <v>44543</v>
      </c>
      <c r="CZ13" s="204"/>
    </row>
    <row r="14" spans="1:104" ht="12.75">
      <c r="A14" s="319" t="s">
        <v>405</v>
      </c>
      <c r="B14" s="204">
        <v>0</v>
      </c>
      <c r="C14" s="220"/>
      <c r="D14" s="204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04">
        <v>0</v>
      </c>
      <c r="K14" s="220">
        <v>0</v>
      </c>
      <c r="L14" s="204">
        <v>0</v>
      </c>
      <c r="M14" s="220">
        <v>0</v>
      </c>
      <c r="N14" s="220">
        <v>0</v>
      </c>
      <c r="O14" s="220">
        <v>0</v>
      </c>
      <c r="P14" s="204">
        <v>0</v>
      </c>
      <c r="Q14" s="220">
        <v>0</v>
      </c>
      <c r="R14" s="204">
        <v>0</v>
      </c>
      <c r="S14" s="220">
        <v>0</v>
      </c>
      <c r="T14" s="204">
        <v>0</v>
      </c>
      <c r="U14" s="220">
        <v>0</v>
      </c>
      <c r="V14" s="204">
        <v>0</v>
      </c>
      <c r="W14" s="220">
        <v>0</v>
      </c>
      <c r="X14" s="220">
        <v>0</v>
      </c>
      <c r="Y14" s="204">
        <v>0</v>
      </c>
      <c r="Z14" s="220"/>
      <c r="AA14" s="204">
        <v>0</v>
      </c>
      <c r="AB14" s="220"/>
      <c r="AC14" s="204">
        <v>0</v>
      </c>
      <c r="AD14" s="204">
        <v>0</v>
      </c>
      <c r="AE14" s="220"/>
      <c r="AF14" s="204">
        <v>0</v>
      </c>
      <c r="AG14" s="204">
        <v>0</v>
      </c>
      <c r="AH14" s="204">
        <v>0</v>
      </c>
      <c r="AI14" s="204">
        <v>0</v>
      </c>
      <c r="AJ14" s="220">
        <v>0</v>
      </c>
      <c r="AK14" s="204">
        <v>14578.492</v>
      </c>
      <c r="AL14" s="220">
        <v>0</v>
      </c>
      <c r="AM14" s="204">
        <v>0</v>
      </c>
      <c r="AN14" s="220"/>
      <c r="AO14" s="204">
        <v>0</v>
      </c>
      <c r="AP14" s="220"/>
      <c r="AQ14" s="204">
        <v>0</v>
      </c>
      <c r="AR14" s="204">
        <v>0</v>
      </c>
      <c r="AS14" s="220">
        <v>10</v>
      </c>
      <c r="AT14" s="204">
        <v>0</v>
      </c>
      <c r="AU14" s="220">
        <v>0</v>
      </c>
      <c r="AV14" s="204">
        <v>0</v>
      </c>
      <c r="AW14" s="220"/>
      <c r="AX14" s="204">
        <v>0</v>
      </c>
      <c r="AY14" s="204">
        <v>0</v>
      </c>
      <c r="AZ14" s="220"/>
      <c r="BA14" s="204">
        <v>0</v>
      </c>
      <c r="BB14" s="204">
        <v>0</v>
      </c>
      <c r="BC14" s="220">
        <v>0</v>
      </c>
      <c r="BD14" s="204">
        <v>0</v>
      </c>
      <c r="BE14" s="220"/>
      <c r="BF14" s="204">
        <v>0</v>
      </c>
      <c r="BG14" s="220"/>
      <c r="BH14" s="204">
        <v>0</v>
      </c>
      <c r="BI14" s="220"/>
      <c r="BJ14" s="204">
        <v>0</v>
      </c>
      <c r="BK14" s="204">
        <v>0</v>
      </c>
      <c r="BL14" s="220">
        <v>0</v>
      </c>
      <c r="BM14" s="220">
        <v>0</v>
      </c>
      <c r="BN14" s="204">
        <v>0</v>
      </c>
      <c r="BO14" s="204">
        <v>0</v>
      </c>
      <c r="BP14" s="204">
        <v>0</v>
      </c>
      <c r="BQ14" s="204">
        <v>0</v>
      </c>
      <c r="BR14" s="204">
        <v>0</v>
      </c>
      <c r="BS14" s="220">
        <v>0</v>
      </c>
      <c r="BT14" s="220">
        <v>0</v>
      </c>
      <c r="BU14" s="220">
        <v>0</v>
      </c>
      <c r="BV14" s="204">
        <v>0</v>
      </c>
      <c r="BW14" s="204">
        <v>0</v>
      </c>
      <c r="BX14" s="204">
        <v>0</v>
      </c>
      <c r="BY14" s="220">
        <v>0</v>
      </c>
      <c r="BZ14" s="204">
        <v>0</v>
      </c>
      <c r="CA14" s="220">
        <v>0</v>
      </c>
      <c r="CB14" s="220">
        <v>0</v>
      </c>
      <c r="CC14" s="204">
        <v>0</v>
      </c>
      <c r="CD14" s="204">
        <v>0</v>
      </c>
      <c r="CE14" s="220"/>
      <c r="CF14" s="204">
        <v>0</v>
      </c>
      <c r="CG14" s="204">
        <v>0</v>
      </c>
      <c r="CH14" s="204">
        <v>0</v>
      </c>
      <c r="CI14" s="204">
        <v>0</v>
      </c>
      <c r="CJ14" s="204">
        <v>0</v>
      </c>
      <c r="CK14" s="204">
        <v>0</v>
      </c>
      <c r="CL14" s="204">
        <v>0</v>
      </c>
      <c r="CM14" s="204">
        <v>0</v>
      </c>
      <c r="CN14" s="204">
        <v>0</v>
      </c>
      <c r="CO14" s="204">
        <v>0</v>
      </c>
      <c r="CP14" s="204">
        <v>0</v>
      </c>
      <c r="CQ14" s="220"/>
      <c r="CR14" s="204">
        <v>0</v>
      </c>
      <c r="CS14" s="204">
        <v>0</v>
      </c>
      <c r="CT14" s="204"/>
      <c r="CV14" s="93">
        <f t="shared" si="0"/>
        <v>14578.492</v>
      </c>
      <c r="CW14" s="93"/>
      <c r="CX14" s="93">
        <f t="shared" si="1"/>
        <v>0</v>
      </c>
      <c r="CY14" s="93">
        <f t="shared" si="2"/>
        <v>14578.492</v>
      </c>
      <c r="CZ14" s="204"/>
    </row>
    <row r="15" spans="1:104" ht="12.75">
      <c r="A15" s="319" t="s">
        <v>406</v>
      </c>
      <c r="B15" s="204">
        <v>0</v>
      </c>
      <c r="C15" s="220"/>
      <c r="D15" s="204">
        <v>0</v>
      </c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04">
        <v>0</v>
      </c>
      <c r="K15" s="220">
        <v>0</v>
      </c>
      <c r="L15" s="204">
        <v>0</v>
      </c>
      <c r="M15" s="220">
        <v>0</v>
      </c>
      <c r="N15" s="220">
        <v>0</v>
      </c>
      <c r="O15" s="220">
        <v>0</v>
      </c>
      <c r="P15" s="204">
        <v>0</v>
      </c>
      <c r="Q15" s="220">
        <v>0</v>
      </c>
      <c r="R15" s="204">
        <v>0</v>
      </c>
      <c r="S15" s="220">
        <v>0</v>
      </c>
      <c r="T15" s="204">
        <v>0</v>
      </c>
      <c r="U15" s="220">
        <v>0</v>
      </c>
      <c r="V15" s="204">
        <v>0</v>
      </c>
      <c r="W15" s="220">
        <v>0</v>
      </c>
      <c r="X15" s="220">
        <v>0</v>
      </c>
      <c r="Y15" s="204">
        <v>0</v>
      </c>
      <c r="Z15" s="220"/>
      <c r="AA15" s="204">
        <v>0</v>
      </c>
      <c r="AB15" s="220"/>
      <c r="AC15" s="204">
        <v>0</v>
      </c>
      <c r="AD15" s="204">
        <v>0</v>
      </c>
      <c r="AE15" s="220"/>
      <c r="AF15" s="204">
        <v>0</v>
      </c>
      <c r="AG15" s="204">
        <v>0</v>
      </c>
      <c r="AH15" s="204">
        <v>0</v>
      </c>
      <c r="AI15" s="204">
        <v>0</v>
      </c>
      <c r="AJ15" s="220">
        <v>0</v>
      </c>
      <c r="AK15" s="204">
        <v>0</v>
      </c>
      <c r="AL15" s="220">
        <v>0</v>
      </c>
      <c r="AM15" s="204">
        <v>0</v>
      </c>
      <c r="AN15" s="220"/>
      <c r="AO15" s="204">
        <v>0</v>
      </c>
      <c r="AP15" s="220"/>
      <c r="AQ15" s="204">
        <v>0</v>
      </c>
      <c r="AR15" s="204">
        <v>0</v>
      </c>
      <c r="AS15" s="220">
        <v>0</v>
      </c>
      <c r="AT15" s="204">
        <v>0</v>
      </c>
      <c r="AU15" s="220">
        <v>0</v>
      </c>
      <c r="AV15" s="204">
        <v>0</v>
      </c>
      <c r="AW15" s="220"/>
      <c r="AX15" s="204">
        <v>0</v>
      </c>
      <c r="AY15" s="204">
        <v>0</v>
      </c>
      <c r="AZ15" s="220"/>
      <c r="BA15" s="204">
        <v>0</v>
      </c>
      <c r="BB15" s="204">
        <v>0</v>
      </c>
      <c r="BC15" s="220">
        <v>0</v>
      </c>
      <c r="BD15" s="204">
        <v>0</v>
      </c>
      <c r="BE15" s="220"/>
      <c r="BF15" s="204">
        <v>0</v>
      </c>
      <c r="BG15" s="220"/>
      <c r="BH15" s="204">
        <v>0</v>
      </c>
      <c r="BI15" s="220"/>
      <c r="BJ15" s="204">
        <v>0</v>
      </c>
      <c r="BK15" s="204">
        <v>0</v>
      </c>
      <c r="BL15" s="220">
        <v>0</v>
      </c>
      <c r="BM15" s="220">
        <v>0</v>
      </c>
      <c r="BN15" s="204">
        <v>0</v>
      </c>
      <c r="BO15" s="204">
        <v>0</v>
      </c>
      <c r="BP15" s="204">
        <v>0</v>
      </c>
      <c r="BQ15" s="204">
        <v>0</v>
      </c>
      <c r="BR15" s="204">
        <v>0</v>
      </c>
      <c r="BS15" s="220">
        <v>0</v>
      </c>
      <c r="BT15" s="220">
        <v>0</v>
      </c>
      <c r="BU15" s="220">
        <v>0</v>
      </c>
      <c r="BV15" s="204">
        <v>0</v>
      </c>
      <c r="BW15" s="204">
        <v>0</v>
      </c>
      <c r="BX15" s="204">
        <v>0</v>
      </c>
      <c r="BY15" s="220">
        <v>0</v>
      </c>
      <c r="BZ15" s="204">
        <v>0</v>
      </c>
      <c r="CA15" s="220">
        <v>0</v>
      </c>
      <c r="CB15" s="220">
        <v>0</v>
      </c>
      <c r="CC15" s="204">
        <v>0</v>
      </c>
      <c r="CD15" s="204">
        <v>0</v>
      </c>
      <c r="CE15" s="220"/>
      <c r="CF15" s="204">
        <v>0</v>
      </c>
      <c r="CG15" s="204">
        <v>0</v>
      </c>
      <c r="CH15" s="204">
        <v>0</v>
      </c>
      <c r="CI15" s="204">
        <v>0</v>
      </c>
      <c r="CJ15" s="204">
        <v>0</v>
      </c>
      <c r="CK15" s="204">
        <v>0</v>
      </c>
      <c r="CL15" s="204">
        <v>0</v>
      </c>
      <c r="CM15" s="204">
        <v>0</v>
      </c>
      <c r="CN15" s="204">
        <v>0</v>
      </c>
      <c r="CO15" s="204">
        <v>0</v>
      </c>
      <c r="CP15" s="204">
        <v>0</v>
      </c>
      <c r="CQ15" s="220"/>
      <c r="CR15" s="204">
        <v>0</v>
      </c>
      <c r="CS15" s="204">
        <v>0</v>
      </c>
      <c r="CT15" s="204"/>
      <c r="CV15" s="93">
        <f t="shared" si="0"/>
        <v>0</v>
      </c>
      <c r="CW15" s="93"/>
      <c r="CX15" s="93">
        <f t="shared" si="1"/>
        <v>0</v>
      </c>
      <c r="CY15" s="93">
        <f t="shared" si="2"/>
        <v>0</v>
      </c>
      <c r="CZ15" s="204"/>
    </row>
    <row r="16" spans="1:103" ht="5.25" customHeight="1">
      <c r="A16" s="319"/>
      <c r="CV16" s="93"/>
      <c r="CW16" s="93"/>
      <c r="CX16" s="93"/>
      <c r="CY16" s="93"/>
    </row>
    <row r="17" spans="1:103" ht="12.75">
      <c r="A17" s="320" t="s">
        <v>606</v>
      </c>
      <c r="B17" s="221"/>
      <c r="CV17" s="93"/>
      <c r="CW17" s="93"/>
      <c r="CX17" s="93"/>
      <c r="CY17" s="93"/>
    </row>
    <row r="18" spans="1:104" ht="12.75">
      <c r="A18" s="319" t="s">
        <v>407</v>
      </c>
      <c r="B18" s="204">
        <v>29489065.641</v>
      </c>
      <c r="C18" s="220"/>
      <c r="D18" s="204">
        <v>16782416</v>
      </c>
      <c r="E18" s="220">
        <v>11925399</v>
      </c>
      <c r="F18" s="220">
        <v>4430489</v>
      </c>
      <c r="G18" s="220">
        <v>0</v>
      </c>
      <c r="H18" s="220">
        <v>0</v>
      </c>
      <c r="I18" s="220">
        <v>426529</v>
      </c>
      <c r="J18" s="204">
        <v>17734194.802</v>
      </c>
      <c r="K18" s="220">
        <v>10186.92</v>
      </c>
      <c r="L18" s="204">
        <v>18047818</v>
      </c>
      <c r="M18" s="220">
        <v>18047818.216</v>
      </c>
      <c r="N18" s="220">
        <v>0</v>
      </c>
      <c r="O18" s="220">
        <v>0</v>
      </c>
      <c r="P18" s="204">
        <v>12457433.146</v>
      </c>
      <c r="Q18" s="220">
        <v>3491.676</v>
      </c>
      <c r="R18" s="204">
        <v>7467630.309</v>
      </c>
      <c r="S18" s="220">
        <v>13281.841</v>
      </c>
      <c r="T18" s="204">
        <f>4462079.879+8005.606</f>
        <v>4470085.484999999</v>
      </c>
      <c r="U18" s="220">
        <v>8005.606</v>
      </c>
      <c r="V18" s="204">
        <v>11545108.305</v>
      </c>
      <c r="W18" s="220">
        <v>9973277.719</v>
      </c>
      <c r="X18" s="220">
        <f aca="true" t="shared" si="3" ref="X18:X23">+V18-W18</f>
        <v>1571830.5859999992</v>
      </c>
      <c r="Y18" s="204">
        <v>5621272.972</v>
      </c>
      <c r="Z18" s="220"/>
      <c r="AA18" s="204">
        <v>5065245.585</v>
      </c>
      <c r="AB18" s="220"/>
      <c r="AC18" s="204">
        <v>7930600.791</v>
      </c>
      <c r="AD18" s="204">
        <v>5175324.108</v>
      </c>
      <c r="AE18" s="220"/>
      <c r="AF18" s="204">
        <v>7697649</v>
      </c>
      <c r="AG18" s="204">
        <v>6341942.04</v>
      </c>
      <c r="AH18" s="204">
        <v>7395600.39</v>
      </c>
      <c r="AI18" s="204">
        <v>4414535.617</v>
      </c>
      <c r="AJ18" s="220">
        <v>11814.419</v>
      </c>
      <c r="AK18" s="204">
        <v>3670711.381</v>
      </c>
      <c r="AL18" s="220">
        <v>1410.724</v>
      </c>
      <c r="AM18" s="204">
        <v>4473203.001</v>
      </c>
      <c r="AN18" s="220"/>
      <c r="AO18" s="204">
        <v>7668765.218</v>
      </c>
      <c r="AP18" s="220"/>
      <c r="AQ18" s="204">
        <v>1896870.544</v>
      </c>
      <c r="AR18" s="204">
        <v>2360837.85</v>
      </c>
      <c r="AS18" s="220">
        <v>795.213</v>
      </c>
      <c r="AT18" s="204">
        <v>1002516.51</v>
      </c>
      <c r="AU18" s="220">
        <v>2914.042</v>
      </c>
      <c r="AV18" s="204">
        <v>3553948</v>
      </c>
      <c r="AW18" s="220"/>
      <c r="AX18" s="204">
        <v>1650845.235</v>
      </c>
      <c r="AY18" s="204">
        <v>4359987.154</v>
      </c>
      <c r="AZ18" s="220"/>
      <c r="BA18" s="204">
        <v>3589840.663</v>
      </c>
      <c r="BB18" s="204">
        <v>2916805.652</v>
      </c>
      <c r="BC18" s="220">
        <f>2916805.652-114354.576</f>
        <v>2802451.076</v>
      </c>
      <c r="BD18" s="204">
        <v>476801.883</v>
      </c>
      <c r="BE18" s="220"/>
      <c r="BF18" s="204">
        <v>1733486.679</v>
      </c>
      <c r="BG18" s="220"/>
      <c r="BH18" s="204">
        <v>414188.112</v>
      </c>
      <c r="BI18" s="220"/>
      <c r="BJ18" s="204">
        <v>419019.561</v>
      </c>
      <c r="BK18" s="204">
        <v>511429.632</v>
      </c>
      <c r="BL18" s="220">
        <v>489199.966</v>
      </c>
      <c r="BM18" s="220">
        <v>22229.666</v>
      </c>
      <c r="BN18" s="204">
        <v>2166950.99</v>
      </c>
      <c r="BO18" s="204">
        <v>659546.666</v>
      </c>
      <c r="BP18" s="204">
        <v>1107861.701</v>
      </c>
      <c r="BQ18" s="204">
        <v>242868.025</v>
      </c>
      <c r="BR18" s="204">
        <f>844936.397+17176.202</f>
        <v>862112.599</v>
      </c>
      <c r="BS18" s="220">
        <v>742378.017</v>
      </c>
      <c r="BT18" s="220">
        <v>102558.38</v>
      </c>
      <c r="BU18" s="220">
        <v>17176.202</v>
      </c>
      <c r="BV18" s="204">
        <v>834764.147</v>
      </c>
      <c r="BW18" s="204">
        <v>673475.239</v>
      </c>
      <c r="BX18" s="204">
        <v>401040.448</v>
      </c>
      <c r="BY18" s="220">
        <f>401040.448-16979.033</f>
        <v>384061.415</v>
      </c>
      <c r="BZ18" s="204">
        <v>301744.829</v>
      </c>
      <c r="CA18" s="220">
        <f aca="true" t="shared" si="4" ref="CA18:CA23">+BZ18-CB18</f>
        <v>33640.89600000001</v>
      </c>
      <c r="CB18" s="220">
        <v>268103.933</v>
      </c>
      <c r="CC18" s="204">
        <v>612237.791</v>
      </c>
      <c r="CD18" s="204">
        <v>260664.49</v>
      </c>
      <c r="CE18" s="220"/>
      <c r="CF18" s="204">
        <v>223502.016</v>
      </c>
      <c r="CG18" s="204">
        <v>250312.85</v>
      </c>
      <c r="CH18" s="204">
        <v>258772.078</v>
      </c>
      <c r="CI18" s="204">
        <v>242237.678</v>
      </c>
      <c r="CJ18" s="204">
        <v>129728.974</v>
      </c>
      <c r="CK18" s="204">
        <v>290125.976</v>
      </c>
      <c r="CL18" s="204">
        <v>1148.961</v>
      </c>
      <c r="CM18" s="204">
        <v>9297.081</v>
      </c>
      <c r="CN18" s="204">
        <v>25761.47</v>
      </c>
      <c r="CO18" s="204">
        <v>0</v>
      </c>
      <c r="CP18" s="204">
        <v>0</v>
      </c>
      <c r="CQ18" s="220"/>
      <c r="CR18" s="204">
        <v>10000</v>
      </c>
      <c r="CS18" s="204">
        <v>0</v>
      </c>
      <c r="CT18" s="204"/>
      <c r="CV18" s="93">
        <f t="shared" si="0"/>
        <v>217899333.27500004</v>
      </c>
      <c r="CW18" s="93"/>
      <c r="CX18" s="93">
        <f t="shared" si="1"/>
        <v>23751192.152999997</v>
      </c>
      <c r="CY18" s="93">
        <f t="shared" si="2"/>
        <v>194148141.12200004</v>
      </c>
      <c r="CZ18" s="204"/>
    </row>
    <row r="19" spans="1:104" ht="12.75">
      <c r="A19" s="319" t="s">
        <v>408</v>
      </c>
      <c r="B19" s="204">
        <v>41983132.805</v>
      </c>
      <c r="C19" s="220"/>
      <c r="D19" s="204">
        <v>43742099</v>
      </c>
      <c r="E19" s="220">
        <v>38945170</v>
      </c>
      <c r="F19" s="220">
        <v>4776815</v>
      </c>
      <c r="G19" s="220">
        <v>0</v>
      </c>
      <c r="H19" s="220">
        <v>0</v>
      </c>
      <c r="I19" s="220">
        <v>20113</v>
      </c>
      <c r="J19" s="204">
        <v>22072668.411</v>
      </c>
      <c r="K19" s="220">
        <v>26660.156</v>
      </c>
      <c r="L19" s="204">
        <v>16734160</v>
      </c>
      <c r="M19" s="220">
        <v>16734160.107</v>
      </c>
      <c r="N19" s="220">
        <v>0</v>
      </c>
      <c r="O19" s="220">
        <v>0</v>
      </c>
      <c r="P19" s="204">
        <v>25934390.597</v>
      </c>
      <c r="Q19" s="220">
        <v>0</v>
      </c>
      <c r="R19" s="204">
        <v>10263745.318</v>
      </c>
      <c r="S19" s="220">
        <v>15234.855</v>
      </c>
      <c r="T19" s="204">
        <f>13944459.807+9584.205</f>
        <v>13954044.012</v>
      </c>
      <c r="U19" s="220">
        <f>682.101+8902.104</f>
        <v>9584.205</v>
      </c>
      <c r="V19" s="204">
        <v>3862869.425</v>
      </c>
      <c r="W19" s="220">
        <v>3375345.866</v>
      </c>
      <c r="X19" s="220">
        <f t="shared" si="3"/>
        <v>487523.5589999999</v>
      </c>
      <c r="Y19" s="204">
        <v>5856091.934</v>
      </c>
      <c r="Z19" s="220"/>
      <c r="AA19" s="204">
        <v>6435294.148</v>
      </c>
      <c r="AB19" s="220"/>
      <c r="AC19" s="204">
        <v>4668046.813</v>
      </c>
      <c r="AD19" s="204">
        <v>6406683.267</v>
      </c>
      <c r="AE19" s="220"/>
      <c r="AF19" s="204">
        <v>2094473</v>
      </c>
      <c r="AG19" s="204">
        <v>2807089.094</v>
      </c>
      <c r="AH19" s="204">
        <v>2348180.197</v>
      </c>
      <c r="AI19" s="204">
        <v>1698428.906</v>
      </c>
      <c r="AJ19" s="220">
        <v>0</v>
      </c>
      <c r="AK19" s="204">
        <v>5439327.483</v>
      </c>
      <c r="AL19" s="220">
        <v>2419.005</v>
      </c>
      <c r="AM19" s="204">
        <v>3966176.292</v>
      </c>
      <c r="AN19" s="220"/>
      <c r="AO19" s="204">
        <f>503048.567</f>
        <v>503048.567</v>
      </c>
      <c r="AP19" s="220"/>
      <c r="AQ19" s="204">
        <v>4547034.055</v>
      </c>
      <c r="AR19" s="204">
        <v>4431561.87</v>
      </c>
      <c r="AS19" s="220">
        <v>1492.706</v>
      </c>
      <c r="AT19" s="204">
        <v>3982946.577</v>
      </c>
      <c r="AU19" s="220">
        <v>0</v>
      </c>
      <c r="AV19" s="204">
        <v>2840458</v>
      </c>
      <c r="AW19" s="220"/>
      <c r="AX19" s="204">
        <v>3820564.843</v>
      </c>
      <c r="AY19" s="204">
        <v>579244.101</v>
      </c>
      <c r="AZ19" s="220"/>
      <c r="BA19" s="204">
        <v>944091.182</v>
      </c>
      <c r="BB19" s="204">
        <v>1121650.248</v>
      </c>
      <c r="BC19" s="220">
        <f>1121650.248-1426.274</f>
        <v>1120223.974</v>
      </c>
      <c r="BD19" s="204">
        <v>1988494.835</v>
      </c>
      <c r="BE19" s="220"/>
      <c r="BF19" s="204">
        <v>767361.233</v>
      </c>
      <c r="BG19" s="220"/>
      <c r="BH19" s="204">
        <v>1534504.043</v>
      </c>
      <c r="BI19" s="220"/>
      <c r="BJ19" s="204">
        <v>861578.013</v>
      </c>
      <c r="BK19" s="204">
        <v>1860751.623</v>
      </c>
      <c r="BL19" s="220">
        <f>+BK19-BM19</f>
        <v>1683077.669</v>
      </c>
      <c r="BM19" s="220">
        <v>177673.954</v>
      </c>
      <c r="BN19" s="204">
        <v>187236.235</v>
      </c>
      <c r="BO19" s="204">
        <v>1258689.98</v>
      </c>
      <c r="BP19" s="204">
        <v>773193.54</v>
      </c>
      <c r="BQ19" s="204">
        <v>1228062.138</v>
      </c>
      <c r="BR19" s="204">
        <v>111673.763</v>
      </c>
      <c r="BS19" s="220">
        <v>98118.802</v>
      </c>
      <c r="BT19" s="220">
        <v>13554.961</v>
      </c>
      <c r="BU19" s="220">
        <v>0</v>
      </c>
      <c r="BV19" s="204">
        <v>759728.367</v>
      </c>
      <c r="BW19" s="204">
        <v>304432.008</v>
      </c>
      <c r="BX19" s="204">
        <v>804519.83</v>
      </c>
      <c r="BY19" s="220">
        <f>804519.83-27388.45</f>
        <v>777131.38</v>
      </c>
      <c r="BZ19" s="204">
        <v>604794.498</v>
      </c>
      <c r="CA19" s="220">
        <f t="shared" si="4"/>
        <v>33884.07400000002</v>
      </c>
      <c r="CB19" s="220">
        <v>570910.424</v>
      </c>
      <c r="CC19" s="204">
        <v>522046.787</v>
      </c>
      <c r="CD19" s="204">
        <v>728968.714</v>
      </c>
      <c r="CE19" s="220"/>
      <c r="CF19" s="204">
        <v>663183.687</v>
      </c>
      <c r="CG19" s="204">
        <v>512612.905</v>
      </c>
      <c r="CH19" s="204">
        <f>307430.177+13422.5-10808.469</f>
        <v>310044.20800000004</v>
      </c>
      <c r="CI19" s="204">
        <v>344751.59</v>
      </c>
      <c r="CJ19" s="204">
        <v>210217.236</v>
      </c>
      <c r="CK19" s="204">
        <v>172510.821</v>
      </c>
      <c r="CL19" s="204">
        <v>369661.57</v>
      </c>
      <c r="CM19" s="204">
        <v>222224.249</v>
      </c>
      <c r="CN19" s="204">
        <v>84771.31</v>
      </c>
      <c r="CO19" s="204">
        <v>19332.083</v>
      </c>
      <c r="CP19" s="204">
        <v>8320.847</v>
      </c>
      <c r="CQ19" s="220"/>
      <c r="CR19" s="204">
        <v>36962.461</v>
      </c>
      <c r="CS19" s="204">
        <v>7967.82</v>
      </c>
      <c r="CT19" s="204"/>
      <c r="CV19" s="93">
        <f t="shared" si="0"/>
        <v>260296096.53900006</v>
      </c>
      <c r="CW19" s="93"/>
      <c r="CX19" s="93">
        <f t="shared" si="1"/>
        <v>52108151.503</v>
      </c>
      <c r="CY19" s="93">
        <f t="shared" si="2"/>
        <v>208187945.036</v>
      </c>
      <c r="CZ19" s="204"/>
    </row>
    <row r="20" spans="1:104" ht="12.75">
      <c r="A20" s="319" t="s">
        <v>409</v>
      </c>
      <c r="B20" s="204">
        <v>13410954.115</v>
      </c>
      <c r="C20" s="220"/>
      <c r="D20" s="204">
        <v>15344317</v>
      </c>
      <c r="E20" s="220">
        <v>12138148</v>
      </c>
      <c r="F20" s="220">
        <v>3175355</v>
      </c>
      <c r="G20" s="220">
        <v>30815</v>
      </c>
      <c r="H20" s="220">
        <v>0</v>
      </c>
      <c r="I20" s="220">
        <v>0</v>
      </c>
      <c r="J20" s="204">
        <v>7481378.84</v>
      </c>
      <c r="K20" s="220">
        <v>0</v>
      </c>
      <c r="L20" s="204">
        <v>6706889</v>
      </c>
      <c r="M20" s="220">
        <v>6706889.215</v>
      </c>
      <c r="N20" s="220">
        <v>0</v>
      </c>
      <c r="O20" s="220">
        <v>0</v>
      </c>
      <c r="P20" s="204">
        <v>2851449.002</v>
      </c>
      <c r="Q20" s="220">
        <v>0</v>
      </c>
      <c r="R20" s="204">
        <v>574616.047</v>
      </c>
      <c r="S20" s="220">
        <v>0</v>
      </c>
      <c r="T20" s="204">
        <v>492357.136</v>
      </c>
      <c r="U20" s="220">
        <v>0</v>
      </c>
      <c r="V20" s="204">
        <v>1589150.522</v>
      </c>
      <c r="W20" s="220">
        <v>1296447.285</v>
      </c>
      <c r="X20" s="220">
        <f t="shared" si="3"/>
        <v>292703.2370000002</v>
      </c>
      <c r="Y20" s="204">
        <v>4128380.898</v>
      </c>
      <c r="Z20" s="220"/>
      <c r="AA20" s="204">
        <v>2994195.587</v>
      </c>
      <c r="AB20" s="220"/>
      <c r="AC20" s="204">
        <v>1183874.169</v>
      </c>
      <c r="AD20" s="204">
        <v>380495.018</v>
      </c>
      <c r="AE20" s="220"/>
      <c r="AF20" s="204">
        <v>1884011</v>
      </c>
      <c r="AG20" s="204">
        <v>494448.876</v>
      </c>
      <c r="AH20" s="204">
        <v>601169.703</v>
      </c>
      <c r="AI20" s="204">
        <v>2834931.831</v>
      </c>
      <c r="AJ20" s="220">
        <v>0</v>
      </c>
      <c r="AK20" s="204">
        <v>2279.119</v>
      </c>
      <c r="AL20" s="220">
        <v>0</v>
      </c>
      <c r="AM20" s="204">
        <v>303700.087</v>
      </c>
      <c r="AN20" s="220"/>
      <c r="AO20" s="204">
        <v>252997.605</v>
      </c>
      <c r="AP20" s="220"/>
      <c r="AQ20" s="204">
        <v>1057101.456</v>
      </c>
      <c r="AR20" s="204">
        <v>39939.434</v>
      </c>
      <c r="AS20" s="220">
        <v>13.453</v>
      </c>
      <c r="AT20" s="204">
        <v>1039584.074</v>
      </c>
      <c r="AU20" s="220">
        <v>0</v>
      </c>
      <c r="AV20" s="204">
        <v>45762</v>
      </c>
      <c r="AW20" s="220"/>
      <c r="AX20" s="204">
        <v>457869.607</v>
      </c>
      <c r="AY20" s="204">
        <v>597679.186</v>
      </c>
      <c r="AZ20" s="220"/>
      <c r="BA20" s="204">
        <v>155091.889</v>
      </c>
      <c r="BB20" s="204">
        <v>0</v>
      </c>
      <c r="BC20" s="220">
        <v>0</v>
      </c>
      <c r="BD20" s="204">
        <v>276634.123</v>
      </c>
      <c r="BE20" s="220"/>
      <c r="BF20" s="204">
        <v>877601.554</v>
      </c>
      <c r="BG20" s="220"/>
      <c r="BH20" s="204">
        <v>1069980.433</v>
      </c>
      <c r="BI20" s="220"/>
      <c r="BJ20" s="204">
        <v>1531347.505</v>
      </c>
      <c r="BK20" s="204">
        <v>126945.403</v>
      </c>
      <c r="BL20" s="220">
        <f>+BK20-BM20</f>
        <v>116548.81</v>
      </c>
      <c r="BM20" s="220">
        <v>10396.593</v>
      </c>
      <c r="BN20" s="204">
        <v>0</v>
      </c>
      <c r="BO20" s="204">
        <v>90596.671</v>
      </c>
      <c r="BP20" s="204">
        <v>51787.696</v>
      </c>
      <c r="BQ20" s="204">
        <v>5359.927</v>
      </c>
      <c r="BR20" s="204">
        <v>202711.49</v>
      </c>
      <c r="BS20" s="220">
        <v>178106.369</v>
      </c>
      <c r="BT20" s="220">
        <v>24605.121</v>
      </c>
      <c r="BU20" s="220">
        <v>0</v>
      </c>
      <c r="BV20" s="204">
        <v>98079.165</v>
      </c>
      <c r="BW20" s="204">
        <v>385819.431</v>
      </c>
      <c r="BX20" s="204">
        <v>0</v>
      </c>
      <c r="BY20" s="220">
        <v>0</v>
      </c>
      <c r="BZ20" s="204">
        <v>295340.996</v>
      </c>
      <c r="CA20" s="220">
        <f t="shared" si="4"/>
        <v>28322.82799999998</v>
      </c>
      <c r="CB20" s="220">
        <v>267018.168</v>
      </c>
      <c r="CC20" s="204">
        <v>55599.593</v>
      </c>
      <c r="CD20" s="204">
        <v>76407.271</v>
      </c>
      <c r="CE20" s="220"/>
      <c r="CF20" s="204">
        <v>140028.041</v>
      </c>
      <c r="CG20" s="204">
        <v>0</v>
      </c>
      <c r="CH20" s="204">
        <v>69588.702</v>
      </c>
      <c r="CI20" s="204">
        <v>2591.343</v>
      </c>
      <c r="CJ20" s="204">
        <v>88819.549</v>
      </c>
      <c r="CK20" s="204">
        <v>0</v>
      </c>
      <c r="CL20" s="204">
        <v>31011.365</v>
      </c>
      <c r="CM20" s="204">
        <v>5363.441</v>
      </c>
      <c r="CN20" s="204">
        <v>5334.558</v>
      </c>
      <c r="CO20" s="204">
        <v>63985.334</v>
      </c>
      <c r="CP20" s="204">
        <v>65545.291</v>
      </c>
      <c r="CQ20" s="220"/>
      <c r="CR20" s="204">
        <v>7936.414</v>
      </c>
      <c r="CS20" s="204">
        <v>0</v>
      </c>
      <c r="CT20" s="204"/>
      <c r="CV20" s="93">
        <f t="shared" si="0"/>
        <v>72529038.49699996</v>
      </c>
      <c r="CW20" s="93"/>
      <c r="CX20" s="93">
        <f t="shared" si="1"/>
        <v>19128105.214999996</v>
      </c>
      <c r="CY20" s="93">
        <f t="shared" si="2"/>
        <v>53400933.28199999</v>
      </c>
      <c r="CZ20" s="204"/>
    </row>
    <row r="21" spans="1:104" ht="12.75">
      <c r="A21" s="319" t="s">
        <v>410</v>
      </c>
      <c r="B21" s="204">
        <v>0</v>
      </c>
      <c r="C21" s="220"/>
      <c r="D21" s="204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04">
        <v>221335.159</v>
      </c>
      <c r="K21" s="220">
        <v>0</v>
      </c>
      <c r="L21" s="204">
        <v>0</v>
      </c>
      <c r="M21" s="220">
        <v>0</v>
      </c>
      <c r="N21" s="220">
        <v>0</v>
      </c>
      <c r="O21" s="220">
        <v>0</v>
      </c>
      <c r="P21" s="204">
        <v>0</v>
      </c>
      <c r="Q21" s="220">
        <v>0</v>
      </c>
      <c r="R21" s="204">
        <v>434431.719</v>
      </c>
      <c r="S21" s="220">
        <v>0</v>
      </c>
      <c r="T21" s="204">
        <v>0</v>
      </c>
      <c r="U21" s="220">
        <v>0</v>
      </c>
      <c r="V21" s="204">
        <v>0</v>
      </c>
      <c r="W21" s="220">
        <v>0</v>
      </c>
      <c r="X21" s="220">
        <f t="shared" si="3"/>
        <v>0</v>
      </c>
      <c r="Y21" s="204">
        <v>191213.742</v>
      </c>
      <c r="Z21" s="220"/>
      <c r="AA21" s="204">
        <v>108168.649</v>
      </c>
      <c r="AB21" s="220"/>
      <c r="AC21" s="204">
        <v>0</v>
      </c>
      <c r="AD21" s="204">
        <v>28270.032</v>
      </c>
      <c r="AE21" s="220"/>
      <c r="AF21" s="204">
        <v>0</v>
      </c>
      <c r="AG21" s="204">
        <v>1822191.325</v>
      </c>
      <c r="AH21" s="204">
        <v>26192.052</v>
      </c>
      <c r="AI21" s="204">
        <v>0</v>
      </c>
      <c r="AJ21" s="220">
        <v>0</v>
      </c>
      <c r="AK21" s="204">
        <v>0</v>
      </c>
      <c r="AL21" s="220">
        <v>0</v>
      </c>
      <c r="AM21" s="204">
        <v>0</v>
      </c>
      <c r="AN21" s="220"/>
      <c r="AO21" s="204">
        <v>0</v>
      </c>
      <c r="AP21" s="220"/>
      <c r="AQ21" s="204">
        <v>0</v>
      </c>
      <c r="AR21" s="204">
        <v>0</v>
      </c>
      <c r="AS21" s="220">
        <v>0</v>
      </c>
      <c r="AT21" s="204">
        <v>0</v>
      </c>
      <c r="AU21" s="220">
        <v>0</v>
      </c>
      <c r="AV21" s="204">
        <v>0</v>
      </c>
      <c r="AW21" s="220"/>
      <c r="AX21" s="204">
        <v>0</v>
      </c>
      <c r="AY21" s="204">
        <v>0</v>
      </c>
      <c r="AZ21" s="220"/>
      <c r="BA21" s="204">
        <v>14952.345</v>
      </c>
      <c r="BB21" s="204">
        <v>0</v>
      </c>
      <c r="BC21" s="220">
        <v>0</v>
      </c>
      <c r="BD21" s="204">
        <v>0</v>
      </c>
      <c r="BE21" s="220"/>
      <c r="BF21" s="204">
        <v>0</v>
      </c>
      <c r="BG21" s="220"/>
      <c r="BH21" s="204">
        <v>0</v>
      </c>
      <c r="BI21" s="220"/>
      <c r="BJ21" s="204">
        <v>0</v>
      </c>
      <c r="BK21" s="204">
        <v>0</v>
      </c>
      <c r="BL21" s="220">
        <f>+BK21-BM21</f>
        <v>0</v>
      </c>
      <c r="BM21" s="220">
        <v>0</v>
      </c>
      <c r="BN21" s="204">
        <v>0</v>
      </c>
      <c r="BO21" s="204">
        <v>0</v>
      </c>
      <c r="BP21" s="204">
        <v>0</v>
      </c>
      <c r="BQ21" s="204">
        <v>0</v>
      </c>
      <c r="BR21" s="204">
        <v>0</v>
      </c>
      <c r="BS21" s="220">
        <v>0</v>
      </c>
      <c r="BT21" s="220">
        <v>0</v>
      </c>
      <c r="BU21" s="220">
        <v>0</v>
      </c>
      <c r="BV21" s="204">
        <v>0</v>
      </c>
      <c r="BW21" s="204">
        <v>0</v>
      </c>
      <c r="BX21" s="204">
        <v>0</v>
      </c>
      <c r="BY21" s="220">
        <v>0</v>
      </c>
      <c r="BZ21" s="204">
        <v>0</v>
      </c>
      <c r="CA21" s="220">
        <f t="shared" si="4"/>
        <v>0</v>
      </c>
      <c r="CB21" s="220"/>
      <c r="CC21" s="204">
        <v>0</v>
      </c>
      <c r="CD21" s="204">
        <v>0</v>
      </c>
      <c r="CE21" s="220"/>
      <c r="CF21" s="204">
        <v>0</v>
      </c>
      <c r="CG21" s="204">
        <v>0</v>
      </c>
      <c r="CH21" s="204">
        <v>0</v>
      </c>
      <c r="CI21" s="204">
        <v>0</v>
      </c>
      <c r="CJ21" s="204">
        <v>0</v>
      </c>
      <c r="CK21" s="204">
        <v>0</v>
      </c>
      <c r="CL21" s="204">
        <v>0</v>
      </c>
      <c r="CM21" s="204">
        <v>0</v>
      </c>
      <c r="CN21" s="204">
        <v>0</v>
      </c>
      <c r="CO21" s="204">
        <v>0</v>
      </c>
      <c r="CP21" s="204">
        <v>0</v>
      </c>
      <c r="CQ21" s="220"/>
      <c r="CR21" s="204">
        <v>0</v>
      </c>
      <c r="CS21" s="204">
        <v>0</v>
      </c>
      <c r="CT21" s="204"/>
      <c r="CV21" s="93">
        <f t="shared" si="0"/>
        <v>2846755.0230000005</v>
      </c>
      <c r="CW21" s="93"/>
      <c r="CX21" s="93">
        <f t="shared" si="1"/>
        <v>0</v>
      </c>
      <c r="CY21" s="93">
        <f t="shared" si="2"/>
        <v>2846755.0230000005</v>
      </c>
      <c r="CZ21" s="204"/>
    </row>
    <row r="22" spans="1:104" ht="12.75">
      <c r="A22" s="319" t="s">
        <v>411</v>
      </c>
      <c r="B22" s="204">
        <v>0</v>
      </c>
      <c r="C22" s="220"/>
      <c r="D22" s="204">
        <v>0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04">
        <v>0</v>
      </c>
      <c r="K22" s="220">
        <v>0</v>
      </c>
      <c r="L22" s="204">
        <v>0</v>
      </c>
      <c r="M22" s="220">
        <v>0</v>
      </c>
      <c r="N22" s="220">
        <v>0</v>
      </c>
      <c r="O22" s="220">
        <v>0</v>
      </c>
      <c r="P22" s="204">
        <v>0</v>
      </c>
      <c r="Q22" s="220">
        <v>0</v>
      </c>
      <c r="R22" s="204">
        <v>597095.982</v>
      </c>
      <c r="S22" s="220">
        <v>0</v>
      </c>
      <c r="T22" s="204">
        <v>0</v>
      </c>
      <c r="U22" s="220">
        <v>0</v>
      </c>
      <c r="V22" s="204">
        <v>0</v>
      </c>
      <c r="W22" s="220">
        <v>0</v>
      </c>
      <c r="X22" s="220">
        <f t="shared" si="3"/>
        <v>0</v>
      </c>
      <c r="Y22" s="204">
        <v>0</v>
      </c>
      <c r="Z22" s="220"/>
      <c r="AA22" s="204">
        <f>2035.858+208637.222</f>
        <v>210673.08000000002</v>
      </c>
      <c r="AB22" s="220"/>
      <c r="AC22" s="204">
        <v>0</v>
      </c>
      <c r="AD22" s="204">
        <v>0</v>
      </c>
      <c r="AE22" s="220"/>
      <c r="AF22" s="204">
        <v>0</v>
      </c>
      <c r="AG22" s="204">
        <v>0</v>
      </c>
      <c r="AH22" s="204">
        <v>228271.155</v>
      </c>
      <c r="AI22" s="204">
        <v>1569230.074</v>
      </c>
      <c r="AJ22" s="220">
        <v>70790.72</v>
      </c>
      <c r="AK22" s="204">
        <v>771747.161</v>
      </c>
      <c r="AL22" s="220">
        <v>0</v>
      </c>
      <c r="AM22" s="204">
        <v>0</v>
      </c>
      <c r="AN22" s="220"/>
      <c r="AO22" s="204">
        <v>0</v>
      </c>
      <c r="AP22" s="220"/>
      <c r="AQ22" s="204">
        <v>0</v>
      </c>
      <c r="AR22" s="204">
        <v>17690.929</v>
      </c>
      <c r="AS22" s="220">
        <v>5.959</v>
      </c>
      <c r="AT22" s="204">
        <v>119604.315</v>
      </c>
      <c r="AU22" s="220">
        <v>0</v>
      </c>
      <c r="AV22" s="204">
        <v>0</v>
      </c>
      <c r="AW22" s="220"/>
      <c r="AX22" s="204">
        <v>0</v>
      </c>
      <c r="AY22" s="204">
        <v>0</v>
      </c>
      <c r="AZ22" s="220"/>
      <c r="BA22" s="204">
        <v>331301.057</v>
      </c>
      <c r="BB22" s="204">
        <v>0</v>
      </c>
      <c r="BC22" s="220">
        <v>0</v>
      </c>
      <c r="BD22" s="204">
        <v>0</v>
      </c>
      <c r="BE22" s="220"/>
      <c r="BF22" s="204">
        <v>2200.367</v>
      </c>
      <c r="BG22" s="220"/>
      <c r="BH22" s="204">
        <v>0</v>
      </c>
      <c r="BI22" s="220"/>
      <c r="BJ22" s="204">
        <v>0</v>
      </c>
      <c r="BK22" s="204">
        <v>0</v>
      </c>
      <c r="BL22" s="220">
        <f>+BK22-BM22</f>
        <v>0</v>
      </c>
      <c r="BM22" s="220">
        <v>0</v>
      </c>
      <c r="BN22" s="204">
        <v>0</v>
      </c>
      <c r="BO22" s="204">
        <v>0</v>
      </c>
      <c r="BP22" s="204">
        <v>10568.724</v>
      </c>
      <c r="BQ22" s="204">
        <v>0</v>
      </c>
      <c r="BR22" s="204">
        <v>0</v>
      </c>
      <c r="BS22" s="220">
        <v>0</v>
      </c>
      <c r="BT22" s="220">
        <v>0</v>
      </c>
      <c r="BU22" s="220">
        <v>0</v>
      </c>
      <c r="BV22" s="204">
        <v>0</v>
      </c>
      <c r="BW22" s="204">
        <v>0</v>
      </c>
      <c r="BX22" s="204">
        <v>0</v>
      </c>
      <c r="BY22" s="220">
        <v>0</v>
      </c>
      <c r="BZ22" s="204">
        <v>15634.754</v>
      </c>
      <c r="CA22" s="220">
        <f t="shared" si="4"/>
        <v>0</v>
      </c>
      <c r="CB22" s="220">
        <v>15634.754</v>
      </c>
      <c r="CC22" s="204">
        <v>0</v>
      </c>
      <c r="CD22" s="204">
        <v>0</v>
      </c>
      <c r="CE22" s="220"/>
      <c r="CF22" s="204">
        <v>0</v>
      </c>
      <c r="CG22" s="204">
        <v>0</v>
      </c>
      <c r="CH22" s="204">
        <v>0</v>
      </c>
      <c r="CI22" s="204">
        <v>0</v>
      </c>
      <c r="CJ22" s="204">
        <v>0</v>
      </c>
      <c r="CK22" s="204">
        <v>0</v>
      </c>
      <c r="CL22" s="204">
        <v>0</v>
      </c>
      <c r="CM22" s="204">
        <v>31631.949</v>
      </c>
      <c r="CN22" s="204">
        <v>47587.534</v>
      </c>
      <c r="CO22" s="204">
        <v>0</v>
      </c>
      <c r="CP22" s="204">
        <v>0</v>
      </c>
      <c r="CQ22" s="220"/>
      <c r="CR22" s="204">
        <v>0</v>
      </c>
      <c r="CS22" s="204">
        <v>0</v>
      </c>
      <c r="CT22" s="204"/>
      <c r="CV22" s="93">
        <f t="shared" si="0"/>
        <v>3953237.0810000002</v>
      </c>
      <c r="CW22" s="93"/>
      <c r="CX22" s="93">
        <f t="shared" si="1"/>
        <v>94854.237</v>
      </c>
      <c r="CY22" s="93">
        <f t="shared" si="2"/>
        <v>3858382.844</v>
      </c>
      <c r="CZ22" s="204"/>
    </row>
    <row r="23" spans="1:104" ht="12.75">
      <c r="A23" s="319" t="s">
        <v>412</v>
      </c>
      <c r="B23" s="204">
        <v>0</v>
      </c>
      <c r="C23" s="220"/>
      <c r="D23" s="204">
        <v>9347</v>
      </c>
      <c r="E23" s="220">
        <v>8847</v>
      </c>
      <c r="F23" s="220">
        <v>500</v>
      </c>
      <c r="G23" s="220">
        <v>0</v>
      </c>
      <c r="H23" s="220">
        <v>0</v>
      </c>
      <c r="I23" s="220">
        <v>0</v>
      </c>
      <c r="J23" s="204">
        <v>78315.491</v>
      </c>
      <c r="K23" s="220">
        <v>0</v>
      </c>
      <c r="L23" s="204">
        <v>0</v>
      </c>
      <c r="M23" s="220">
        <v>0</v>
      </c>
      <c r="N23" s="220">
        <v>0</v>
      </c>
      <c r="O23" s="220">
        <v>0</v>
      </c>
      <c r="P23" s="204">
        <v>0</v>
      </c>
      <c r="Q23" s="220">
        <v>0</v>
      </c>
      <c r="R23" s="204">
        <v>17035</v>
      </c>
      <c r="S23" s="220">
        <v>0</v>
      </c>
      <c r="T23" s="204">
        <v>0</v>
      </c>
      <c r="U23" s="220">
        <v>0</v>
      </c>
      <c r="V23" s="204">
        <v>0</v>
      </c>
      <c r="W23" s="220">
        <v>0</v>
      </c>
      <c r="X23" s="220">
        <f t="shared" si="3"/>
        <v>0</v>
      </c>
      <c r="Y23" s="204">
        <v>50471.724</v>
      </c>
      <c r="Z23" s="220"/>
      <c r="AA23" s="204">
        <v>0</v>
      </c>
      <c r="AB23" s="220"/>
      <c r="AC23" s="204">
        <v>86035.765</v>
      </c>
      <c r="AD23" s="204">
        <v>0</v>
      </c>
      <c r="AE23" s="220"/>
      <c r="AF23" s="204">
        <v>9340</v>
      </c>
      <c r="AG23" s="204">
        <v>0</v>
      </c>
      <c r="AH23" s="204">
        <v>8146.39</v>
      </c>
      <c r="AI23" s="204">
        <v>10700</v>
      </c>
      <c r="AJ23" s="220">
        <v>0</v>
      </c>
      <c r="AK23" s="204">
        <v>5724.577</v>
      </c>
      <c r="AL23" s="220">
        <v>0</v>
      </c>
      <c r="AM23" s="204">
        <v>0</v>
      </c>
      <c r="AN23" s="220"/>
      <c r="AO23" s="204">
        <v>0</v>
      </c>
      <c r="AP23" s="220"/>
      <c r="AQ23" s="204">
        <v>0</v>
      </c>
      <c r="AR23" s="204">
        <v>0</v>
      </c>
      <c r="AS23" s="220">
        <v>0</v>
      </c>
      <c r="AT23" s="204">
        <v>0</v>
      </c>
      <c r="AU23" s="220">
        <v>0</v>
      </c>
      <c r="AV23" s="204">
        <v>0</v>
      </c>
      <c r="AW23" s="220"/>
      <c r="AX23" s="204">
        <v>0</v>
      </c>
      <c r="AY23" s="204">
        <v>0</v>
      </c>
      <c r="AZ23" s="220"/>
      <c r="BA23" s="204">
        <v>305.012</v>
      </c>
      <c r="BB23" s="204">
        <v>0</v>
      </c>
      <c r="BC23" s="220">
        <v>0</v>
      </c>
      <c r="BD23" s="204">
        <v>14800</v>
      </c>
      <c r="BE23" s="220"/>
      <c r="BF23" s="204">
        <v>0</v>
      </c>
      <c r="BG23" s="220"/>
      <c r="BH23" s="204">
        <v>0</v>
      </c>
      <c r="BI23" s="220"/>
      <c r="BJ23" s="204">
        <v>0</v>
      </c>
      <c r="BK23" s="204">
        <v>0</v>
      </c>
      <c r="BL23" s="220">
        <f>+BK23-BM23</f>
        <v>0</v>
      </c>
      <c r="BM23" s="220">
        <v>0</v>
      </c>
      <c r="BN23" s="204">
        <v>0</v>
      </c>
      <c r="BO23" s="204">
        <v>0</v>
      </c>
      <c r="BP23" s="204">
        <v>0</v>
      </c>
      <c r="BQ23" s="204">
        <v>0</v>
      </c>
      <c r="BR23" s="204">
        <v>0</v>
      </c>
      <c r="BS23" s="220">
        <v>0</v>
      </c>
      <c r="BT23" s="220">
        <v>0</v>
      </c>
      <c r="BU23" s="220">
        <v>0</v>
      </c>
      <c r="BV23" s="204">
        <v>0</v>
      </c>
      <c r="BW23" s="204">
        <v>0</v>
      </c>
      <c r="BX23" s="204">
        <v>0</v>
      </c>
      <c r="BY23" s="220">
        <v>0</v>
      </c>
      <c r="BZ23" s="204">
        <v>0</v>
      </c>
      <c r="CA23" s="220">
        <f t="shared" si="4"/>
        <v>0</v>
      </c>
      <c r="CB23" s="220"/>
      <c r="CC23" s="204">
        <v>0</v>
      </c>
      <c r="CD23" s="204">
        <v>0</v>
      </c>
      <c r="CE23" s="220"/>
      <c r="CF23" s="204">
        <v>28495.408</v>
      </c>
      <c r="CG23" s="204">
        <v>0</v>
      </c>
      <c r="CH23" s="204">
        <v>0</v>
      </c>
      <c r="CI23" s="204">
        <v>0</v>
      </c>
      <c r="CJ23" s="204">
        <v>0</v>
      </c>
      <c r="CK23" s="204">
        <v>0</v>
      </c>
      <c r="CL23" s="204">
        <v>0</v>
      </c>
      <c r="CM23" s="204">
        <v>0</v>
      </c>
      <c r="CN23" s="204">
        <v>0</v>
      </c>
      <c r="CO23" s="204">
        <v>0</v>
      </c>
      <c r="CP23" s="204">
        <v>0</v>
      </c>
      <c r="CQ23" s="220"/>
      <c r="CR23" s="204">
        <v>0</v>
      </c>
      <c r="CS23" s="204">
        <v>0</v>
      </c>
      <c r="CT23" s="204"/>
      <c r="CV23" s="93">
        <f t="shared" si="0"/>
        <v>318716.36699999997</v>
      </c>
      <c r="CW23" s="93"/>
      <c r="CX23" s="93">
        <f t="shared" si="1"/>
        <v>37842.407999999996</v>
      </c>
      <c r="CY23" s="93">
        <f t="shared" si="2"/>
        <v>280873.959</v>
      </c>
      <c r="CZ23" s="204"/>
    </row>
    <row r="24" spans="1:104" ht="13.5">
      <c r="A24" s="321" t="s">
        <v>413</v>
      </c>
      <c r="B24" s="93">
        <f aca="true" t="shared" si="5" ref="B24:H24">SUM(B18:B23)</f>
        <v>84883152.56099999</v>
      </c>
      <c r="C24" s="219"/>
      <c r="D24" s="93">
        <f t="shared" si="5"/>
        <v>75878179</v>
      </c>
      <c r="E24" s="219">
        <f t="shared" si="5"/>
        <v>63017564</v>
      </c>
      <c r="F24" s="219">
        <f t="shared" si="5"/>
        <v>12383159</v>
      </c>
      <c r="G24" s="219">
        <f t="shared" si="5"/>
        <v>30815</v>
      </c>
      <c r="H24" s="219">
        <f t="shared" si="5"/>
        <v>0</v>
      </c>
      <c r="J24" s="93">
        <f aca="true" t="shared" si="6" ref="J24:BH24">SUM(J18:J23)</f>
        <v>47587892.703</v>
      </c>
      <c r="L24" s="93">
        <f t="shared" si="6"/>
        <v>41488867</v>
      </c>
      <c r="M24" s="219">
        <f t="shared" si="6"/>
        <v>41488867.538</v>
      </c>
      <c r="N24" s="219">
        <f t="shared" si="6"/>
        <v>0</v>
      </c>
      <c r="O24" s="219"/>
      <c r="P24" s="93">
        <f t="shared" si="6"/>
        <v>41243272.745</v>
      </c>
      <c r="Q24" s="219">
        <f t="shared" si="6"/>
        <v>3491.676</v>
      </c>
      <c r="R24" s="93">
        <f t="shared" si="6"/>
        <v>19354554.375</v>
      </c>
      <c r="S24" s="220"/>
      <c r="T24" s="93">
        <f t="shared" si="6"/>
        <v>18916486.633</v>
      </c>
      <c r="U24" s="220"/>
      <c r="V24" s="93">
        <f t="shared" si="6"/>
        <v>16997128.252</v>
      </c>
      <c r="W24" s="219">
        <f t="shared" si="6"/>
        <v>14645070.870000001</v>
      </c>
      <c r="X24" s="219">
        <f t="shared" si="6"/>
        <v>2352057.3819999993</v>
      </c>
      <c r="Y24" s="93">
        <f t="shared" si="6"/>
        <v>15847431.27</v>
      </c>
      <c r="AA24" s="93">
        <f t="shared" si="6"/>
        <v>14813577.048999999</v>
      </c>
      <c r="AB24" s="219"/>
      <c r="AC24" s="93">
        <f t="shared" si="6"/>
        <v>13868557.538</v>
      </c>
      <c r="AD24" s="93">
        <f t="shared" si="6"/>
        <v>11990772.424999999</v>
      </c>
      <c r="AE24" s="219"/>
      <c r="AF24" s="93">
        <f t="shared" si="6"/>
        <v>11685473</v>
      </c>
      <c r="AG24" s="93">
        <f t="shared" si="6"/>
        <v>11465671.334999999</v>
      </c>
      <c r="AH24" s="93">
        <f t="shared" si="6"/>
        <v>10607559.886999998</v>
      </c>
      <c r="AI24" s="93">
        <f t="shared" si="6"/>
        <v>10527826.428</v>
      </c>
      <c r="AJ24" s="219">
        <f t="shared" si="6"/>
        <v>82605.139</v>
      </c>
      <c r="AK24" s="93">
        <f t="shared" si="6"/>
        <v>9889789.721</v>
      </c>
      <c r="AL24" s="219">
        <f t="shared" si="6"/>
        <v>3829.7290000000003</v>
      </c>
      <c r="AM24" s="93">
        <f t="shared" si="6"/>
        <v>8743079.379999999</v>
      </c>
      <c r="AN24" s="219"/>
      <c r="AO24" s="93">
        <f t="shared" si="6"/>
        <v>8424811.39</v>
      </c>
      <c r="AP24" s="219"/>
      <c r="AQ24" s="93">
        <f t="shared" si="6"/>
        <v>7501006.055</v>
      </c>
      <c r="AR24" s="93">
        <f t="shared" si="6"/>
        <v>6850030.083000001</v>
      </c>
      <c r="AS24" s="219">
        <f t="shared" si="6"/>
        <v>2307.3309999999997</v>
      </c>
      <c r="AT24" s="93">
        <f t="shared" si="6"/>
        <v>6144651.476000001</v>
      </c>
      <c r="AU24" s="219"/>
      <c r="AV24" s="93">
        <f t="shared" si="6"/>
        <v>6440168</v>
      </c>
      <c r="AW24" s="219"/>
      <c r="AX24" s="93">
        <f t="shared" si="6"/>
        <v>5929279.685</v>
      </c>
      <c r="AY24" s="93">
        <f t="shared" si="6"/>
        <v>5536910.441</v>
      </c>
      <c r="AZ24" s="219"/>
      <c r="BA24" s="93">
        <f t="shared" si="6"/>
        <v>5035582.148000001</v>
      </c>
      <c r="BB24" s="93">
        <f t="shared" si="6"/>
        <v>4038455.8999999994</v>
      </c>
      <c r="BC24" s="219"/>
      <c r="BD24" s="93">
        <f t="shared" si="6"/>
        <v>2756730.841</v>
      </c>
      <c r="BE24" s="219"/>
      <c r="BF24" s="93">
        <f t="shared" si="6"/>
        <v>3380649.833</v>
      </c>
      <c r="BG24" s="219"/>
      <c r="BH24" s="93">
        <f t="shared" si="6"/>
        <v>3018672.588</v>
      </c>
      <c r="BJ24" s="93">
        <f aca="true" t="shared" si="7" ref="BJ24:CD24">SUM(BJ18:BJ23)</f>
        <v>2811945.079</v>
      </c>
      <c r="BK24" s="93">
        <f t="shared" si="7"/>
        <v>2499126.658</v>
      </c>
      <c r="BL24" s="219">
        <f>SUM(BL18:BL23)</f>
        <v>2288826.445</v>
      </c>
      <c r="BM24" s="219">
        <f>SUM(BM18:BM23)</f>
        <v>210300.213</v>
      </c>
      <c r="BN24" s="93">
        <f t="shared" si="7"/>
        <v>2354187.225</v>
      </c>
      <c r="BO24" s="93">
        <f t="shared" si="7"/>
        <v>2008833.317</v>
      </c>
      <c r="BP24" s="93">
        <f t="shared" si="7"/>
        <v>1943411.6609999998</v>
      </c>
      <c r="BQ24" s="93">
        <f t="shared" si="7"/>
        <v>1476290.0899999999</v>
      </c>
      <c r="BR24" s="93">
        <f t="shared" si="7"/>
        <v>1176497.852</v>
      </c>
      <c r="BS24" s="219">
        <f t="shared" si="7"/>
        <v>1018603.1880000001</v>
      </c>
      <c r="BT24" s="219">
        <f t="shared" si="7"/>
        <v>140718.462</v>
      </c>
      <c r="BU24" s="219">
        <f t="shared" si="7"/>
        <v>17176.202</v>
      </c>
      <c r="BV24" s="93">
        <f t="shared" si="7"/>
        <v>1692571.679</v>
      </c>
      <c r="BW24" s="93">
        <f t="shared" si="7"/>
        <v>1363726.6779999998</v>
      </c>
      <c r="BX24" s="93">
        <f t="shared" si="7"/>
        <v>1205560.278</v>
      </c>
      <c r="BY24" s="219"/>
      <c r="BZ24" s="93">
        <f t="shared" si="7"/>
        <v>1217515.077</v>
      </c>
      <c r="CA24" s="219">
        <f t="shared" si="7"/>
        <v>95847.79800000001</v>
      </c>
      <c r="CB24" s="219">
        <f t="shared" si="7"/>
        <v>1121667.279</v>
      </c>
      <c r="CC24" s="93">
        <f t="shared" si="7"/>
        <v>1189884.171</v>
      </c>
      <c r="CD24" s="93">
        <f t="shared" si="7"/>
        <v>1066040.475</v>
      </c>
      <c r="CE24" s="219"/>
      <c r="CF24" s="93">
        <f aca="true" t="shared" si="8" ref="CF24:CS24">SUM(CF18:CF23)</f>
        <v>1055209.152</v>
      </c>
      <c r="CG24" s="93">
        <f t="shared" si="8"/>
        <v>762925.755</v>
      </c>
      <c r="CH24" s="93">
        <f t="shared" si="8"/>
        <v>638404.9880000001</v>
      </c>
      <c r="CI24" s="93">
        <f t="shared" si="8"/>
        <v>589580.611</v>
      </c>
      <c r="CJ24" s="93">
        <f>SUM(CJ18:CJ23)</f>
        <v>428765.759</v>
      </c>
      <c r="CK24" s="93">
        <f t="shared" si="8"/>
        <v>462636.797</v>
      </c>
      <c r="CL24" s="93">
        <f t="shared" si="8"/>
        <v>401821.896</v>
      </c>
      <c r="CM24" s="93">
        <f t="shared" si="8"/>
        <v>268516.72000000003</v>
      </c>
      <c r="CN24" s="93">
        <f t="shared" si="8"/>
        <v>163454.872</v>
      </c>
      <c r="CO24" s="93">
        <f>SUM(CO18:CO23)</f>
        <v>83317.417</v>
      </c>
      <c r="CP24" s="93">
        <f>SUM(CP18:CP23)</f>
        <v>73866.13799999999</v>
      </c>
      <c r="CQ24" s="219"/>
      <c r="CR24" s="93">
        <f t="shared" si="8"/>
        <v>54898.875</v>
      </c>
      <c r="CS24" s="93">
        <f t="shared" si="8"/>
        <v>7967.82</v>
      </c>
      <c r="CT24" s="93"/>
      <c r="CV24" s="93">
        <f t="shared" si="0"/>
        <v>557843176.7820002</v>
      </c>
      <c r="CW24" s="93"/>
      <c r="CX24" s="93">
        <f t="shared" si="1"/>
        <v>95120145.51599999</v>
      </c>
      <c r="CY24" s="93">
        <f t="shared" si="2"/>
        <v>462723031.266</v>
      </c>
      <c r="CZ24" s="93"/>
    </row>
    <row r="25" spans="1:104" ht="13.5">
      <c r="A25" s="321" t="s">
        <v>414</v>
      </c>
      <c r="B25" s="93">
        <f aca="true" t="shared" si="9" ref="B25:H25">B24+B15+B14+B13+B12+B11+B10</f>
        <v>85106147.042</v>
      </c>
      <c r="C25" s="219"/>
      <c r="D25" s="93">
        <f t="shared" si="9"/>
        <v>76010892</v>
      </c>
      <c r="E25" s="219">
        <f t="shared" si="9"/>
        <v>63083920</v>
      </c>
      <c r="F25" s="219">
        <f t="shared" si="9"/>
        <v>12449515</v>
      </c>
      <c r="G25" s="219">
        <f t="shared" si="9"/>
        <v>30815</v>
      </c>
      <c r="H25" s="219">
        <f t="shared" si="9"/>
        <v>0</v>
      </c>
      <c r="I25" s="219">
        <f>SUM(I18:I23)</f>
        <v>446642</v>
      </c>
      <c r="J25" s="93">
        <f aca="true" t="shared" si="10" ref="J25:CD25">J24+J15+J14+J13+J12+J11+J10</f>
        <v>47852574.789000005</v>
      </c>
      <c r="K25" s="219">
        <f>SUM(K18:K23)</f>
        <v>36847.076</v>
      </c>
      <c r="L25" s="93">
        <f t="shared" si="10"/>
        <v>41721832</v>
      </c>
      <c r="M25" s="219">
        <f>M24+M15+M14+M13+M12+M11+M10</f>
        <v>41721831.703</v>
      </c>
      <c r="N25" s="219">
        <f>N24+N15+N14+N13+N12+N11+N10</f>
        <v>0</v>
      </c>
      <c r="O25" s="219">
        <f>SUM(O18:O23)</f>
        <v>0</v>
      </c>
      <c r="P25" s="93">
        <f t="shared" si="10"/>
        <v>41282213.952</v>
      </c>
      <c r="Q25" s="219">
        <f>SUM(Q18:Q23)</f>
        <v>3491.676</v>
      </c>
      <c r="R25" s="93">
        <f t="shared" si="10"/>
        <v>19354554.375</v>
      </c>
      <c r="S25" s="219">
        <f>SUM(S18:S23)</f>
        <v>28516.696</v>
      </c>
      <c r="T25" s="93">
        <f t="shared" si="10"/>
        <v>18916486.633</v>
      </c>
      <c r="U25" s="219">
        <f>SUM(U18:U23)</f>
        <v>17589.811</v>
      </c>
      <c r="V25" s="93">
        <f t="shared" si="10"/>
        <v>16997128.252</v>
      </c>
      <c r="W25" s="219">
        <f>W24+W15+W14+W13+W12+W11+W10</f>
        <v>14645070.870000001</v>
      </c>
      <c r="X25" s="219">
        <f>X24+X15+X14+X13+X12+X11+X10</f>
        <v>2352057.3819999993</v>
      </c>
      <c r="Y25" s="93">
        <f t="shared" si="10"/>
        <v>15917073.761</v>
      </c>
      <c r="Z25" s="219"/>
      <c r="AA25" s="93">
        <f t="shared" si="10"/>
        <v>14878989.929999998</v>
      </c>
      <c r="AB25" s="219"/>
      <c r="AC25" s="93">
        <f t="shared" si="10"/>
        <v>13897322.8</v>
      </c>
      <c r="AD25" s="93">
        <f t="shared" si="10"/>
        <v>12001882.108</v>
      </c>
      <c r="AE25" s="219">
        <v>4807</v>
      </c>
      <c r="AF25" s="93">
        <f t="shared" si="10"/>
        <v>11685473</v>
      </c>
      <c r="AG25" s="93">
        <f t="shared" si="10"/>
        <v>11465671.334999999</v>
      </c>
      <c r="AH25" s="93">
        <f t="shared" si="10"/>
        <v>10607559.886999998</v>
      </c>
      <c r="AI25" s="93">
        <f t="shared" si="10"/>
        <v>10527826.428</v>
      </c>
      <c r="AJ25" s="219">
        <f t="shared" si="10"/>
        <v>82605.139</v>
      </c>
      <c r="AK25" s="93">
        <f t="shared" si="10"/>
        <v>9929705.05</v>
      </c>
      <c r="AL25" s="219">
        <f>SUM(AL18:AL23)</f>
        <v>3829.7290000000003</v>
      </c>
      <c r="AM25" s="93">
        <f t="shared" si="10"/>
        <v>8743079.379999999</v>
      </c>
      <c r="AN25" s="219">
        <v>8261355</v>
      </c>
      <c r="AO25" s="93">
        <f t="shared" si="10"/>
        <v>8424811.39</v>
      </c>
      <c r="AP25" s="219">
        <v>7690145</v>
      </c>
      <c r="AQ25" s="93">
        <f t="shared" si="10"/>
        <v>7515751.927</v>
      </c>
      <c r="AR25" s="93">
        <f t="shared" si="10"/>
        <v>6879879.1280000005</v>
      </c>
      <c r="AS25" s="219">
        <f t="shared" si="10"/>
        <v>2317.3309999999997</v>
      </c>
      <c r="AT25" s="93">
        <f t="shared" si="10"/>
        <v>6144651.476000001</v>
      </c>
      <c r="AU25" s="219">
        <f>SUM(AU18:AU23)</f>
        <v>2914.042</v>
      </c>
      <c r="AV25" s="93">
        <f t="shared" si="10"/>
        <v>6440168</v>
      </c>
      <c r="AW25" s="219"/>
      <c r="AX25" s="93">
        <f t="shared" si="10"/>
        <v>5929279.685</v>
      </c>
      <c r="AY25" s="93">
        <f t="shared" si="10"/>
        <v>5536910.441</v>
      </c>
      <c r="AZ25" s="219">
        <v>4644565.345</v>
      </c>
      <c r="BA25" s="93">
        <f t="shared" si="10"/>
        <v>5041597.157000001</v>
      </c>
      <c r="BB25" s="93">
        <f t="shared" si="10"/>
        <v>4038455.8999999994</v>
      </c>
      <c r="BC25" s="219">
        <f>SUM(BC18:BC23)</f>
        <v>3922675.05</v>
      </c>
      <c r="BD25" s="93">
        <f t="shared" si="10"/>
        <v>2756730.841</v>
      </c>
      <c r="BE25" s="219"/>
      <c r="BF25" s="93">
        <f t="shared" si="10"/>
        <v>3382992.025</v>
      </c>
      <c r="BG25" s="219"/>
      <c r="BH25" s="93">
        <f t="shared" si="10"/>
        <v>3018672.588</v>
      </c>
      <c r="BI25" s="219"/>
      <c r="BJ25" s="93">
        <f t="shared" si="10"/>
        <v>2811945.079</v>
      </c>
      <c r="BK25" s="93">
        <f t="shared" si="10"/>
        <v>2499126.658</v>
      </c>
      <c r="BL25" s="219">
        <f>BL24+BL15+BL14+BL13+BL12+BL11+BL10</f>
        <v>2288826.445</v>
      </c>
      <c r="BM25" s="219">
        <f>BM24+BM15+BM14+BM13+BM12+BM11+BM10</f>
        <v>210300.213</v>
      </c>
      <c r="BN25" s="93">
        <f t="shared" si="10"/>
        <v>2354187.225</v>
      </c>
      <c r="BO25" s="93">
        <f t="shared" si="10"/>
        <v>2008833.317</v>
      </c>
      <c r="BP25" s="93">
        <f t="shared" si="10"/>
        <v>1943411.6609999998</v>
      </c>
      <c r="BQ25" s="93">
        <f t="shared" si="10"/>
        <v>1486480.7859999998</v>
      </c>
      <c r="BR25" s="93">
        <f t="shared" si="10"/>
        <v>1176497.852</v>
      </c>
      <c r="BS25" s="219">
        <f t="shared" si="10"/>
        <v>1018603.1880000001</v>
      </c>
      <c r="BT25" s="219">
        <f t="shared" si="10"/>
        <v>140718.462</v>
      </c>
      <c r="BU25" s="219">
        <f>SUM(BU18:BU23)</f>
        <v>17176.202</v>
      </c>
      <c r="BV25" s="93">
        <f t="shared" si="10"/>
        <v>1692571.679</v>
      </c>
      <c r="BW25" s="93">
        <f t="shared" si="10"/>
        <v>1363726.6779999998</v>
      </c>
      <c r="BX25" s="93">
        <f t="shared" si="10"/>
        <v>1205560.278</v>
      </c>
      <c r="BY25" s="219">
        <f>SUM(BY18:BY23)</f>
        <v>1161192.795</v>
      </c>
      <c r="BZ25" s="93">
        <f t="shared" si="10"/>
        <v>1217515.077</v>
      </c>
      <c r="CA25" s="219">
        <f>CA24+CA15+CA14+CA13+CA12+CA11+CA10</f>
        <v>95847.79800000001</v>
      </c>
      <c r="CB25" s="219">
        <f>CB24+CB15+CB14+CB13+CB12+CB11+CB10</f>
        <v>1121667.279</v>
      </c>
      <c r="CC25" s="93">
        <f t="shared" si="10"/>
        <v>1189884.171</v>
      </c>
      <c r="CD25" s="93">
        <f t="shared" si="10"/>
        <v>1066040.475</v>
      </c>
      <c r="CE25" s="219"/>
      <c r="CF25" s="93">
        <f aca="true" t="shared" si="11" ref="CF25:CS25">CF24+CF15+CF14+CF13+CF12+CF11+CF10</f>
        <v>1055209.152</v>
      </c>
      <c r="CG25" s="93">
        <f t="shared" si="11"/>
        <v>762925.755</v>
      </c>
      <c r="CH25" s="93">
        <f t="shared" si="11"/>
        <v>638404.9880000001</v>
      </c>
      <c r="CI25" s="93">
        <f t="shared" si="11"/>
        <v>589580.611</v>
      </c>
      <c r="CJ25" s="93">
        <f>CJ24+CJ15+CJ14+CJ13+CJ12+CJ11+CJ10</f>
        <v>428765.759</v>
      </c>
      <c r="CK25" s="93">
        <f t="shared" si="11"/>
        <v>462636.797</v>
      </c>
      <c r="CL25" s="93">
        <f t="shared" si="11"/>
        <v>401821.896</v>
      </c>
      <c r="CM25" s="93">
        <f t="shared" si="11"/>
        <v>268516.72000000003</v>
      </c>
      <c r="CN25" s="93">
        <f t="shared" si="11"/>
        <v>163454.872</v>
      </c>
      <c r="CO25" s="93">
        <f>CO24+CO15+CO14+CO13+CO12+CO11+CO10</f>
        <v>83317.417</v>
      </c>
      <c r="CP25" s="93">
        <f>CP24+CP15+CP14+CP13+CP12+CP11+CP10</f>
        <v>73866.13799999999</v>
      </c>
      <c r="CQ25" s="219"/>
      <c r="CR25" s="93">
        <f t="shared" si="11"/>
        <v>54898.875</v>
      </c>
      <c r="CS25" s="93">
        <f t="shared" si="11"/>
        <v>7967.82</v>
      </c>
      <c r="CT25" s="93"/>
      <c r="CV25" s="93">
        <f t="shared" si="0"/>
        <v>559013461.0160002</v>
      </c>
      <c r="CW25" s="93"/>
      <c r="CX25" s="93">
        <f t="shared" si="1"/>
        <v>95267604.38799998</v>
      </c>
      <c r="CY25" s="93">
        <f t="shared" si="2"/>
        <v>463745856.62799996</v>
      </c>
      <c r="CZ25" s="93"/>
    </row>
    <row r="26" spans="1:104" ht="3.75" customHeight="1">
      <c r="A26" s="321"/>
      <c r="B26" s="93"/>
      <c r="C26" s="219"/>
      <c r="D26" s="93"/>
      <c r="E26" s="219"/>
      <c r="F26" s="219"/>
      <c r="G26" s="219"/>
      <c r="H26" s="219"/>
      <c r="I26" s="219"/>
      <c r="J26" s="93"/>
      <c r="K26" s="219"/>
      <c r="L26" s="93"/>
      <c r="M26" s="219"/>
      <c r="N26" s="219"/>
      <c r="O26" s="219"/>
      <c r="P26" s="93"/>
      <c r="Q26" s="219"/>
      <c r="R26" s="93"/>
      <c r="S26" s="219"/>
      <c r="T26" s="93"/>
      <c r="U26" s="219"/>
      <c r="V26" s="93"/>
      <c r="W26" s="219"/>
      <c r="X26" s="219"/>
      <c r="Y26" s="93"/>
      <c r="Z26" s="219"/>
      <c r="AA26" s="93"/>
      <c r="AB26" s="219"/>
      <c r="AC26" s="93"/>
      <c r="AD26" s="93"/>
      <c r="AE26" s="219"/>
      <c r="AF26" s="93"/>
      <c r="AG26" s="93"/>
      <c r="AH26" s="93"/>
      <c r="AI26" s="93"/>
      <c r="AJ26" s="219"/>
      <c r="AK26" s="93"/>
      <c r="AL26" s="219"/>
      <c r="AM26" s="93"/>
      <c r="AN26" s="219"/>
      <c r="AO26" s="93"/>
      <c r="AP26" s="219"/>
      <c r="AQ26" s="93"/>
      <c r="AR26" s="93"/>
      <c r="AS26" s="219"/>
      <c r="AT26" s="93"/>
      <c r="AU26" s="219"/>
      <c r="AV26" s="93"/>
      <c r="AW26" s="219"/>
      <c r="AX26" s="93"/>
      <c r="AY26" s="93"/>
      <c r="AZ26" s="219"/>
      <c r="BA26" s="93"/>
      <c r="BB26" s="93"/>
      <c r="BC26" s="219"/>
      <c r="BD26" s="93"/>
      <c r="BE26" s="219"/>
      <c r="BF26" s="93"/>
      <c r="BG26" s="219"/>
      <c r="BH26" s="93"/>
      <c r="BI26" s="219"/>
      <c r="BJ26" s="93"/>
      <c r="BK26" s="93"/>
      <c r="BL26" s="219"/>
      <c r="BM26" s="219"/>
      <c r="BN26" s="93"/>
      <c r="BO26" s="93"/>
      <c r="BP26" s="93"/>
      <c r="BQ26" s="93"/>
      <c r="BR26" s="93"/>
      <c r="BS26" s="219"/>
      <c r="BT26" s="219"/>
      <c r="BU26" s="219"/>
      <c r="BV26" s="93"/>
      <c r="BW26" s="93"/>
      <c r="BX26" s="93"/>
      <c r="BY26" s="219"/>
      <c r="BZ26" s="93"/>
      <c r="CA26" s="219"/>
      <c r="CB26" s="219"/>
      <c r="CC26" s="93"/>
      <c r="CD26" s="93"/>
      <c r="CE26" s="219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219"/>
      <c r="CR26" s="93"/>
      <c r="CS26" s="93"/>
      <c r="CT26" s="93"/>
      <c r="CV26" s="93"/>
      <c r="CW26" s="93"/>
      <c r="CX26" s="93"/>
      <c r="CY26" s="93"/>
      <c r="CZ26" s="93"/>
    </row>
    <row r="27" spans="1:103" ht="12.75">
      <c r="A27" s="318" t="s">
        <v>415</v>
      </c>
      <c r="CV27" s="93"/>
      <c r="CW27" s="93"/>
      <c r="CX27" s="93"/>
      <c r="CY27" s="93"/>
    </row>
    <row r="28" spans="1:104" ht="12.75">
      <c r="A28" s="168" t="s">
        <v>416</v>
      </c>
      <c r="B28" s="204">
        <v>0</v>
      </c>
      <c r="C28" s="220"/>
      <c r="D28" s="204">
        <v>0</v>
      </c>
      <c r="E28" s="220">
        <v>0</v>
      </c>
      <c r="F28" s="220">
        <v>0</v>
      </c>
      <c r="G28" s="220">
        <v>0</v>
      </c>
      <c r="H28" s="220">
        <v>0</v>
      </c>
      <c r="I28" s="220">
        <v>0</v>
      </c>
      <c r="J28" s="204">
        <v>0</v>
      </c>
      <c r="K28" s="220">
        <v>0</v>
      </c>
      <c r="L28" s="204">
        <v>0</v>
      </c>
      <c r="M28" s="220">
        <v>0</v>
      </c>
      <c r="N28" s="220">
        <v>0</v>
      </c>
      <c r="O28" s="220">
        <v>0</v>
      </c>
      <c r="P28" s="204">
        <v>0</v>
      </c>
      <c r="Q28" s="220">
        <v>0</v>
      </c>
      <c r="R28" s="204">
        <v>0</v>
      </c>
      <c r="S28" s="220">
        <v>0</v>
      </c>
      <c r="T28" s="204">
        <v>0</v>
      </c>
      <c r="U28" s="220">
        <v>0</v>
      </c>
      <c r="V28" s="204">
        <v>0</v>
      </c>
      <c r="W28" s="220">
        <v>10355.771</v>
      </c>
      <c r="X28" s="220">
        <f>+V28-W28</f>
        <v>-10355.771</v>
      </c>
      <c r="Y28" s="204">
        <v>0</v>
      </c>
      <c r="Z28" s="220"/>
      <c r="AA28" s="204">
        <v>0</v>
      </c>
      <c r="AB28" s="220"/>
      <c r="AC28" s="204">
        <v>0</v>
      </c>
      <c r="AD28" s="204">
        <v>0</v>
      </c>
      <c r="AE28" s="220"/>
      <c r="AF28" s="204">
        <v>0</v>
      </c>
      <c r="AG28" s="204">
        <v>0</v>
      </c>
      <c r="AH28" s="204">
        <v>0</v>
      </c>
      <c r="AI28" s="204">
        <v>0</v>
      </c>
      <c r="AJ28" s="220">
        <v>0</v>
      </c>
      <c r="AK28" s="204">
        <v>0</v>
      </c>
      <c r="AL28" s="220">
        <v>0</v>
      </c>
      <c r="AM28" s="204">
        <v>0</v>
      </c>
      <c r="AN28" s="220"/>
      <c r="AO28" s="204">
        <v>0</v>
      </c>
      <c r="AP28" s="220"/>
      <c r="AQ28" s="204">
        <v>0</v>
      </c>
      <c r="AR28" s="204">
        <v>0</v>
      </c>
      <c r="AS28" s="220">
        <v>0</v>
      </c>
      <c r="AT28" s="204">
        <v>0</v>
      </c>
      <c r="AU28" s="220">
        <v>0</v>
      </c>
      <c r="AV28" s="204">
        <v>0</v>
      </c>
      <c r="AW28" s="220"/>
      <c r="AX28" s="204">
        <v>0</v>
      </c>
      <c r="AY28" s="204">
        <v>0</v>
      </c>
      <c r="AZ28" s="220"/>
      <c r="BA28" s="204">
        <v>0</v>
      </c>
      <c r="BB28" s="204">
        <v>0</v>
      </c>
      <c r="BC28" s="220">
        <v>0</v>
      </c>
      <c r="BD28" s="204">
        <v>0</v>
      </c>
      <c r="BE28" s="220"/>
      <c r="BF28" s="204">
        <v>0</v>
      </c>
      <c r="BG28" s="220"/>
      <c r="BH28" s="204">
        <v>0</v>
      </c>
      <c r="BI28" s="220"/>
      <c r="BJ28" s="204">
        <v>0</v>
      </c>
      <c r="BK28" s="204">
        <v>0</v>
      </c>
      <c r="BL28" s="220">
        <v>0</v>
      </c>
      <c r="BM28" s="220">
        <v>0</v>
      </c>
      <c r="BN28" s="204">
        <v>0</v>
      </c>
      <c r="BO28" s="204">
        <v>0</v>
      </c>
      <c r="BP28" s="204">
        <v>0</v>
      </c>
      <c r="BQ28" s="204">
        <v>0</v>
      </c>
      <c r="BR28" s="204">
        <v>0</v>
      </c>
      <c r="BS28" s="220">
        <v>0</v>
      </c>
      <c r="BT28" s="220">
        <v>0</v>
      </c>
      <c r="BU28" s="220">
        <v>0</v>
      </c>
      <c r="BV28" s="204">
        <v>0</v>
      </c>
      <c r="BW28" s="204">
        <v>0</v>
      </c>
      <c r="BX28" s="204">
        <v>0</v>
      </c>
      <c r="BY28" s="220">
        <v>17.531</v>
      </c>
      <c r="BZ28" s="204">
        <v>0</v>
      </c>
      <c r="CA28" s="220">
        <v>0</v>
      </c>
      <c r="CB28" s="220">
        <f>+BZ28-CA28</f>
        <v>0</v>
      </c>
      <c r="CC28" s="204">
        <v>0</v>
      </c>
      <c r="CD28" s="204">
        <v>0</v>
      </c>
      <c r="CE28" s="220"/>
      <c r="CF28" s="204">
        <v>0</v>
      </c>
      <c r="CG28" s="204">
        <v>0</v>
      </c>
      <c r="CH28" s="204">
        <v>0</v>
      </c>
      <c r="CI28" s="204">
        <v>0</v>
      </c>
      <c r="CJ28" s="204">
        <v>0</v>
      </c>
      <c r="CK28" s="204">
        <v>0</v>
      </c>
      <c r="CL28" s="204">
        <v>0</v>
      </c>
      <c r="CM28" s="204">
        <v>0</v>
      </c>
      <c r="CN28" s="204">
        <v>0</v>
      </c>
      <c r="CO28" s="204">
        <v>0</v>
      </c>
      <c r="CP28" s="204">
        <v>0</v>
      </c>
      <c r="CQ28" s="220"/>
      <c r="CR28" s="204">
        <v>0</v>
      </c>
      <c r="CS28" s="204">
        <v>0</v>
      </c>
      <c r="CT28" s="204"/>
      <c r="CV28" s="93">
        <f t="shared" si="0"/>
        <v>0</v>
      </c>
      <c r="CW28" s="93"/>
      <c r="CX28" s="93">
        <f t="shared" si="1"/>
        <v>0</v>
      </c>
      <c r="CY28" s="93">
        <f t="shared" si="2"/>
        <v>0</v>
      </c>
      <c r="CZ28" s="204"/>
    </row>
    <row r="29" spans="1:104" ht="12.75">
      <c r="A29" s="319" t="s">
        <v>417</v>
      </c>
      <c r="B29" s="204">
        <v>687000</v>
      </c>
      <c r="C29" s="220"/>
      <c r="D29" s="204">
        <v>431656</v>
      </c>
      <c r="E29" s="220">
        <v>311431</v>
      </c>
      <c r="F29" s="220">
        <v>120214</v>
      </c>
      <c r="G29" s="220">
        <v>11</v>
      </c>
      <c r="H29" s="220">
        <v>0</v>
      </c>
      <c r="I29" s="220">
        <v>0</v>
      </c>
      <c r="J29" s="204">
        <v>270000</v>
      </c>
      <c r="K29" s="220">
        <v>0</v>
      </c>
      <c r="L29" s="204">
        <v>202419</v>
      </c>
      <c r="M29" s="220">
        <v>190127.18</v>
      </c>
      <c r="N29" s="220">
        <v>12080.236</v>
      </c>
      <c r="O29" s="220">
        <v>211.648</v>
      </c>
      <c r="P29" s="204">
        <v>121100.864</v>
      </c>
      <c r="Q29" s="220">
        <v>0</v>
      </c>
      <c r="R29" s="204">
        <v>90193.104</v>
      </c>
      <c r="S29" s="220">
        <v>0</v>
      </c>
      <c r="T29" s="204">
        <v>264209.207</v>
      </c>
      <c r="U29" s="220">
        <v>0</v>
      </c>
      <c r="V29" s="204">
        <v>0</v>
      </c>
      <c r="W29" s="220">
        <v>0</v>
      </c>
      <c r="X29" s="220">
        <f>+V29-W29</f>
        <v>0</v>
      </c>
      <c r="Y29" s="204">
        <v>120177.914</v>
      </c>
      <c r="Z29" s="220"/>
      <c r="AA29" s="204">
        <v>70114.512</v>
      </c>
      <c r="AB29" s="220"/>
      <c r="AC29" s="204">
        <v>86255.359</v>
      </c>
      <c r="AD29" s="204">
        <v>227326.413</v>
      </c>
      <c r="AE29" s="220"/>
      <c r="AF29" s="204">
        <v>36076</v>
      </c>
      <c r="AG29" s="204">
        <v>36818.86</v>
      </c>
      <c r="AH29" s="204">
        <v>112000</v>
      </c>
      <c r="AI29" s="204">
        <v>93471.98</v>
      </c>
      <c r="AJ29" s="220">
        <v>0</v>
      </c>
      <c r="AK29" s="204">
        <v>43094.14</v>
      </c>
      <c r="AL29" s="220">
        <v>94.14</v>
      </c>
      <c r="AM29" s="204">
        <v>0</v>
      </c>
      <c r="AN29" s="220"/>
      <c r="AO29" s="204">
        <v>0</v>
      </c>
      <c r="AP29" s="220"/>
      <c r="AQ29" s="204">
        <v>49464.403</v>
      </c>
      <c r="AR29" s="204">
        <v>47814.223</v>
      </c>
      <c r="AS29" s="220">
        <v>16.106</v>
      </c>
      <c r="AT29" s="204">
        <v>36125.473</v>
      </c>
      <c r="AU29" s="220">
        <v>32.145</v>
      </c>
      <c r="AV29" s="204">
        <v>0</v>
      </c>
      <c r="AW29" s="220"/>
      <c r="AX29" s="204">
        <v>0</v>
      </c>
      <c r="AY29" s="204">
        <v>0</v>
      </c>
      <c r="AZ29" s="220"/>
      <c r="BA29" s="204">
        <v>34000</v>
      </c>
      <c r="BB29" s="204">
        <v>0</v>
      </c>
      <c r="BC29" s="220">
        <v>0</v>
      </c>
      <c r="BD29" s="204">
        <v>16558.563</v>
      </c>
      <c r="BE29" s="220"/>
      <c r="BF29" s="204">
        <v>4500.713</v>
      </c>
      <c r="BG29" s="220"/>
      <c r="BH29" s="204">
        <v>4079.176</v>
      </c>
      <c r="BI29" s="220"/>
      <c r="BJ29" s="204">
        <v>99288.308</v>
      </c>
      <c r="BK29" s="204">
        <v>17470.239</v>
      </c>
      <c r="BL29" s="220">
        <v>0</v>
      </c>
      <c r="BM29" s="220">
        <v>20791.954</v>
      </c>
      <c r="BN29" s="204">
        <v>0</v>
      </c>
      <c r="BO29" s="204">
        <v>3.446</v>
      </c>
      <c r="BP29" s="204">
        <v>8356.857</v>
      </c>
      <c r="BQ29" s="204">
        <v>11726.988</v>
      </c>
      <c r="BR29" s="204">
        <v>64852.915</v>
      </c>
      <c r="BS29" s="220">
        <v>56110.742</v>
      </c>
      <c r="BT29" s="220">
        <v>8742.173</v>
      </c>
      <c r="BU29" s="220">
        <v>0</v>
      </c>
      <c r="BV29" s="204">
        <v>7142.526</v>
      </c>
      <c r="BW29" s="204">
        <v>0</v>
      </c>
      <c r="BX29" s="204">
        <v>0</v>
      </c>
      <c r="BY29" s="220">
        <v>0</v>
      </c>
      <c r="BZ29" s="204">
        <v>1945.284</v>
      </c>
      <c r="CA29" s="220">
        <v>156.016</v>
      </c>
      <c r="CB29" s="220">
        <f>+BZ29-CA29</f>
        <v>1789.268</v>
      </c>
      <c r="CC29" s="204">
        <v>0</v>
      </c>
      <c r="CD29" s="204">
        <v>0</v>
      </c>
      <c r="CE29" s="220"/>
      <c r="CF29" s="204">
        <v>7739.498</v>
      </c>
      <c r="CG29" s="204">
        <v>310.748</v>
      </c>
      <c r="CH29" s="204">
        <v>0</v>
      </c>
      <c r="CI29" s="204">
        <v>0</v>
      </c>
      <c r="CJ29" s="204">
        <v>6706.755</v>
      </c>
      <c r="CK29" s="204">
        <v>0</v>
      </c>
      <c r="CL29" s="204">
        <v>0</v>
      </c>
      <c r="CM29" s="204">
        <v>1584.484</v>
      </c>
      <c r="CN29" s="204">
        <v>329.429</v>
      </c>
      <c r="CO29" s="204">
        <v>0</v>
      </c>
      <c r="CP29" s="204">
        <v>0</v>
      </c>
      <c r="CQ29" s="220"/>
      <c r="CR29" s="204">
        <v>16376.629</v>
      </c>
      <c r="CS29" s="204">
        <v>0</v>
      </c>
      <c r="CT29" s="204"/>
      <c r="CV29" s="93">
        <f t="shared" si="0"/>
        <v>3328290.010000001</v>
      </c>
      <c r="CW29" s="93"/>
      <c r="CX29" s="93">
        <f t="shared" si="1"/>
        <v>680254.4530000001</v>
      </c>
      <c r="CY29" s="93">
        <f t="shared" si="2"/>
        <v>2648035.5570000005</v>
      </c>
      <c r="CZ29" s="204"/>
    </row>
    <row r="30" spans="1:104" ht="12.75">
      <c r="A30" s="319" t="s">
        <v>418</v>
      </c>
      <c r="B30" s="204">
        <v>27798.163</v>
      </c>
      <c r="C30" s="220"/>
      <c r="D30" s="204">
        <v>10215</v>
      </c>
      <c r="E30" s="220">
        <v>5794</v>
      </c>
      <c r="F30" s="220">
        <v>3916</v>
      </c>
      <c r="G30" s="220">
        <v>0</v>
      </c>
      <c r="H30" s="220">
        <v>0</v>
      </c>
      <c r="I30" s="220">
        <v>506</v>
      </c>
      <c r="J30" s="204">
        <v>307282.858</v>
      </c>
      <c r="K30" s="220">
        <v>2294.207</v>
      </c>
      <c r="L30" s="204">
        <v>11903</v>
      </c>
      <c r="M30" s="220"/>
      <c r="N30" s="220">
        <v>94753.475</v>
      </c>
      <c r="O30" s="220">
        <v>50403.648</v>
      </c>
      <c r="P30" s="204">
        <v>6902.277</v>
      </c>
      <c r="Q30" s="220">
        <v>0</v>
      </c>
      <c r="R30" s="204">
        <v>8437.893</v>
      </c>
      <c r="S30" s="220">
        <v>52300</v>
      </c>
      <c r="T30" s="204">
        <v>0</v>
      </c>
      <c r="U30" s="220">
        <v>0</v>
      </c>
      <c r="V30" s="204">
        <v>0</v>
      </c>
      <c r="W30" s="220">
        <v>0</v>
      </c>
      <c r="X30" s="220">
        <f>+V30-W30</f>
        <v>0</v>
      </c>
      <c r="Y30" s="204">
        <v>107240.94</v>
      </c>
      <c r="Z30" s="220"/>
      <c r="AA30" s="204">
        <v>537483.501</v>
      </c>
      <c r="AB30" s="220"/>
      <c r="AC30" s="204">
        <v>13738.092</v>
      </c>
      <c r="AD30" s="204">
        <v>1310</v>
      </c>
      <c r="AE30" s="220"/>
      <c r="AF30" s="204">
        <v>7956</v>
      </c>
      <c r="AG30" s="204">
        <v>32387.378</v>
      </c>
      <c r="AH30" s="204">
        <v>1583.699</v>
      </c>
      <c r="AI30" s="204">
        <v>87.249</v>
      </c>
      <c r="AJ30" s="220">
        <v>2258.31</v>
      </c>
      <c r="AK30" s="204">
        <v>551.492</v>
      </c>
      <c r="AL30" s="220">
        <v>0</v>
      </c>
      <c r="AM30" s="204">
        <v>278.725</v>
      </c>
      <c r="AN30" s="220"/>
      <c r="AO30" s="204">
        <v>23139.939</v>
      </c>
      <c r="AP30" s="220"/>
      <c r="AQ30" s="204">
        <v>1046.64</v>
      </c>
      <c r="AR30" s="204">
        <v>5911.899</v>
      </c>
      <c r="AS30" s="220">
        <v>1.991</v>
      </c>
      <c r="AT30" s="204">
        <v>544.857</v>
      </c>
      <c r="AU30" s="220">
        <v>0</v>
      </c>
      <c r="AV30" s="204">
        <v>4392</v>
      </c>
      <c r="AW30" s="220"/>
      <c r="AX30" s="204">
        <v>54083.302</v>
      </c>
      <c r="AY30" s="204">
        <v>9195.262</v>
      </c>
      <c r="AZ30" s="220"/>
      <c r="BA30" s="204">
        <v>0</v>
      </c>
      <c r="BB30" s="204">
        <v>555.958</v>
      </c>
      <c r="BC30" s="220">
        <v>555.958</v>
      </c>
      <c r="BD30" s="204">
        <v>0</v>
      </c>
      <c r="BE30" s="220"/>
      <c r="BF30" s="204">
        <v>913.73</v>
      </c>
      <c r="BG30" s="220"/>
      <c r="BH30" s="204">
        <v>0</v>
      </c>
      <c r="BI30" s="220"/>
      <c r="BJ30" s="204">
        <v>18617.441</v>
      </c>
      <c r="BK30" s="204">
        <v>0</v>
      </c>
      <c r="BL30" s="220">
        <v>0</v>
      </c>
      <c r="BM30" s="220">
        <v>0</v>
      </c>
      <c r="BN30" s="204">
        <v>15936.269</v>
      </c>
      <c r="BO30" s="204">
        <v>0</v>
      </c>
      <c r="BP30" s="204">
        <v>690.749</v>
      </c>
      <c r="BQ30" s="204">
        <v>8280.679</v>
      </c>
      <c r="BR30" s="204">
        <v>199757.299</v>
      </c>
      <c r="BS30" s="220">
        <v>199757.299</v>
      </c>
      <c r="BT30" s="220">
        <v>0</v>
      </c>
      <c r="BU30" s="220">
        <v>0</v>
      </c>
      <c r="BV30" s="204">
        <v>0</v>
      </c>
      <c r="BW30" s="204">
        <v>5321.136</v>
      </c>
      <c r="BX30" s="204">
        <v>1880.147</v>
      </c>
      <c r="BY30" s="220">
        <v>1812.085</v>
      </c>
      <c r="BZ30" s="204">
        <v>690.02</v>
      </c>
      <c r="CA30" s="220">
        <v>0</v>
      </c>
      <c r="CB30" s="220">
        <f>+BZ30-CA30</f>
        <v>690.02</v>
      </c>
      <c r="CC30" s="204">
        <v>3770.688</v>
      </c>
      <c r="CD30" s="204">
        <v>0</v>
      </c>
      <c r="CE30" s="220"/>
      <c r="CF30" s="204">
        <v>630.726</v>
      </c>
      <c r="CG30" s="204">
        <v>0</v>
      </c>
      <c r="CH30" s="204">
        <v>89.245</v>
      </c>
      <c r="CI30" s="204">
        <v>0</v>
      </c>
      <c r="CJ30" s="204">
        <v>0</v>
      </c>
      <c r="CK30" s="204">
        <v>0</v>
      </c>
      <c r="CL30" s="204">
        <v>0</v>
      </c>
      <c r="CM30" s="204">
        <v>562.363</v>
      </c>
      <c r="CN30" s="204">
        <v>233.022</v>
      </c>
      <c r="CO30" s="204">
        <v>0.399</v>
      </c>
      <c r="CP30" s="204">
        <v>1696.278</v>
      </c>
      <c r="CQ30" s="220"/>
      <c r="CR30" s="204">
        <v>0</v>
      </c>
      <c r="CS30" s="204">
        <v>0</v>
      </c>
      <c r="CT30" s="204"/>
      <c r="CV30" s="93">
        <f t="shared" si="0"/>
        <v>1433096.3150000009</v>
      </c>
      <c r="CW30" s="93"/>
      <c r="CX30" s="93">
        <f t="shared" si="1"/>
        <v>253010.315</v>
      </c>
      <c r="CY30" s="93">
        <f t="shared" si="2"/>
        <v>1180086.0000000007</v>
      </c>
      <c r="CZ30" s="204"/>
    </row>
    <row r="31" spans="1:104" ht="13.5">
      <c r="A31" s="321" t="s">
        <v>419</v>
      </c>
      <c r="B31" s="93">
        <f aca="true" t="shared" si="12" ref="B31:H31">SUM(B28:B30)</f>
        <v>714798.163</v>
      </c>
      <c r="C31" s="219"/>
      <c r="D31" s="93">
        <f>SUM(D28:D30)+1</f>
        <v>441872</v>
      </c>
      <c r="E31" s="219">
        <f t="shared" si="12"/>
        <v>317225</v>
      </c>
      <c r="F31" s="219">
        <f t="shared" si="12"/>
        <v>124130</v>
      </c>
      <c r="G31" s="219">
        <f t="shared" si="12"/>
        <v>11</v>
      </c>
      <c r="H31" s="219">
        <f t="shared" si="12"/>
        <v>0</v>
      </c>
      <c r="I31" s="219">
        <f>SUM(I28:I30)</f>
        <v>506</v>
      </c>
      <c r="J31" s="93">
        <f aca="true" t="shared" si="13" ref="J31:AR31">SUM(J28:J30)</f>
        <v>577282.858</v>
      </c>
      <c r="K31" s="219">
        <f t="shared" si="13"/>
        <v>2294.207</v>
      </c>
      <c r="L31" s="93">
        <f t="shared" si="13"/>
        <v>214322</v>
      </c>
      <c r="M31" s="219">
        <f t="shared" si="13"/>
        <v>190127.18</v>
      </c>
      <c r="N31" s="219">
        <f t="shared" si="13"/>
        <v>106833.71100000001</v>
      </c>
      <c r="O31" s="219">
        <f t="shared" si="13"/>
        <v>50615.296</v>
      </c>
      <c r="P31" s="93">
        <f t="shared" si="13"/>
        <v>128003.141</v>
      </c>
      <c r="Q31" s="219">
        <f>SUM(Q28:Q30)</f>
        <v>0</v>
      </c>
      <c r="R31" s="93">
        <f t="shared" si="13"/>
        <v>98630.997</v>
      </c>
      <c r="S31" s="219">
        <f t="shared" si="13"/>
        <v>52300</v>
      </c>
      <c r="T31" s="93">
        <f t="shared" si="13"/>
        <v>264209.207</v>
      </c>
      <c r="U31" s="219">
        <f t="shared" si="13"/>
        <v>0</v>
      </c>
      <c r="V31" s="93">
        <f t="shared" si="13"/>
        <v>0</v>
      </c>
      <c r="W31" s="219">
        <f>SUM(W28:W30)</f>
        <v>10355.771</v>
      </c>
      <c r="X31" s="219">
        <f>SUM(X28:X30)</f>
        <v>-10355.771</v>
      </c>
      <c r="Y31" s="93">
        <f t="shared" si="13"/>
        <v>227418.854</v>
      </c>
      <c r="Z31" s="219"/>
      <c r="AA31" s="93">
        <f t="shared" si="13"/>
        <v>607598.013</v>
      </c>
      <c r="AB31" s="219"/>
      <c r="AC31" s="93">
        <f t="shared" si="13"/>
        <v>99993.451</v>
      </c>
      <c r="AD31" s="93">
        <f t="shared" si="13"/>
        <v>228636.413</v>
      </c>
      <c r="AE31" s="219">
        <v>0</v>
      </c>
      <c r="AF31" s="93">
        <f t="shared" si="13"/>
        <v>44032</v>
      </c>
      <c r="AG31" s="93">
        <f t="shared" si="13"/>
        <v>69206.238</v>
      </c>
      <c r="AH31" s="93">
        <f t="shared" si="13"/>
        <v>113583.699</v>
      </c>
      <c r="AI31" s="93">
        <f t="shared" si="13"/>
        <v>93559.22899999999</v>
      </c>
      <c r="AJ31" s="219">
        <f t="shared" si="13"/>
        <v>2258.31</v>
      </c>
      <c r="AK31" s="93">
        <f t="shared" si="13"/>
        <v>43645.632</v>
      </c>
      <c r="AL31" s="219">
        <f t="shared" si="13"/>
        <v>94.14</v>
      </c>
      <c r="AM31" s="93">
        <f t="shared" si="13"/>
        <v>278.725</v>
      </c>
      <c r="AN31" s="219">
        <v>279</v>
      </c>
      <c r="AO31" s="93">
        <f t="shared" si="13"/>
        <v>23139.939</v>
      </c>
      <c r="AP31" s="219">
        <v>21122</v>
      </c>
      <c r="AQ31" s="93">
        <f t="shared" si="13"/>
        <v>50511.043</v>
      </c>
      <c r="AR31" s="93">
        <f t="shared" si="13"/>
        <v>53726.121999999996</v>
      </c>
      <c r="AS31" s="219">
        <f>SUM(AS28:AS30)</f>
        <v>18.097</v>
      </c>
      <c r="AT31" s="93">
        <f>SUM(AT29:AT30)</f>
        <v>36670.33</v>
      </c>
      <c r="AU31" s="219">
        <f>SUM(AU29:AU30)</f>
        <v>32.145</v>
      </c>
      <c r="AV31" s="93">
        <f aca="true" t="shared" si="14" ref="AV31:CD31">SUM(AV28:AV30)</f>
        <v>4392</v>
      </c>
      <c r="AW31" s="219"/>
      <c r="AX31" s="93">
        <f t="shared" si="14"/>
        <v>54083.302</v>
      </c>
      <c r="AY31" s="93">
        <f t="shared" si="14"/>
        <v>9195.262</v>
      </c>
      <c r="AZ31" s="219">
        <v>7713.326</v>
      </c>
      <c r="BA31" s="93">
        <f t="shared" si="14"/>
        <v>34000</v>
      </c>
      <c r="BB31" s="93">
        <f t="shared" si="14"/>
        <v>555.958</v>
      </c>
      <c r="BC31" s="219">
        <f t="shared" si="14"/>
        <v>555.958</v>
      </c>
      <c r="BD31" s="93">
        <f t="shared" si="14"/>
        <v>16558.563</v>
      </c>
      <c r="BE31" s="219"/>
      <c r="BF31" s="93">
        <f t="shared" si="14"/>
        <v>5414.442999999999</v>
      </c>
      <c r="BG31" s="219"/>
      <c r="BH31" s="93">
        <f t="shared" si="14"/>
        <v>4079.176</v>
      </c>
      <c r="BI31" s="219"/>
      <c r="BJ31" s="93">
        <f t="shared" si="14"/>
        <v>117905.74900000001</v>
      </c>
      <c r="BK31" s="93">
        <f t="shared" si="14"/>
        <v>17470.239</v>
      </c>
      <c r="BL31" s="219">
        <f>SUM(BL28:BL30)</f>
        <v>0</v>
      </c>
      <c r="BM31" s="219">
        <f>SUM(BM28:BM30)</f>
        <v>20791.954</v>
      </c>
      <c r="BN31" s="93">
        <f t="shared" si="14"/>
        <v>15936.269</v>
      </c>
      <c r="BO31" s="93">
        <f t="shared" si="14"/>
        <v>3.446</v>
      </c>
      <c r="BP31" s="93">
        <f t="shared" si="14"/>
        <v>9047.606</v>
      </c>
      <c r="BQ31" s="93">
        <f t="shared" si="14"/>
        <v>20007.667</v>
      </c>
      <c r="BR31" s="93">
        <f t="shared" si="14"/>
        <v>264610.214</v>
      </c>
      <c r="BS31" s="219">
        <f t="shared" si="14"/>
        <v>255868.041</v>
      </c>
      <c r="BT31" s="219">
        <f t="shared" si="14"/>
        <v>8742.173</v>
      </c>
      <c r="BU31" s="219">
        <f t="shared" si="14"/>
        <v>0</v>
      </c>
      <c r="BV31" s="93">
        <f t="shared" si="14"/>
        <v>7142.526</v>
      </c>
      <c r="BW31" s="93">
        <f t="shared" si="14"/>
        <v>5321.136</v>
      </c>
      <c r="BX31" s="93">
        <f t="shared" si="14"/>
        <v>1880.147</v>
      </c>
      <c r="BY31" s="219">
        <f t="shared" si="14"/>
        <v>1829.616</v>
      </c>
      <c r="BZ31" s="93">
        <f t="shared" si="14"/>
        <v>2635.304</v>
      </c>
      <c r="CA31" s="219">
        <f>SUM(CA28:CA30)</f>
        <v>156.016</v>
      </c>
      <c r="CB31" s="219">
        <f>SUM(CB28:CB30)</f>
        <v>2479.288</v>
      </c>
      <c r="CC31" s="93">
        <f t="shared" si="14"/>
        <v>3770.688</v>
      </c>
      <c r="CD31" s="93">
        <f t="shared" si="14"/>
        <v>0</v>
      </c>
      <c r="CE31" s="219"/>
      <c r="CF31" s="93">
        <f aca="true" t="shared" si="15" ref="CF31:CS31">SUM(CF28:CF30)</f>
        <v>8370.224</v>
      </c>
      <c r="CG31" s="93">
        <f t="shared" si="15"/>
        <v>310.748</v>
      </c>
      <c r="CH31" s="93">
        <f t="shared" si="15"/>
        <v>89.245</v>
      </c>
      <c r="CI31" s="93">
        <f t="shared" si="15"/>
        <v>0</v>
      </c>
      <c r="CJ31" s="93">
        <f>SUM(CJ28:CJ30)</f>
        <v>6706.755</v>
      </c>
      <c r="CK31" s="93">
        <f t="shared" si="15"/>
        <v>0</v>
      </c>
      <c r="CL31" s="93">
        <f t="shared" si="15"/>
        <v>0</v>
      </c>
      <c r="CM31" s="93">
        <f t="shared" si="15"/>
        <v>2146.8469999999998</v>
      </c>
      <c r="CN31" s="93">
        <f t="shared" si="15"/>
        <v>562.451</v>
      </c>
      <c r="CO31" s="93">
        <f>SUM(CO28:CO30)</f>
        <v>0.399</v>
      </c>
      <c r="CP31" s="93">
        <f>SUM(CP28:CP30)</f>
        <v>1696.278</v>
      </c>
      <c r="CQ31" s="219"/>
      <c r="CR31" s="93">
        <f t="shared" si="15"/>
        <v>16376.629</v>
      </c>
      <c r="CS31" s="93">
        <f t="shared" si="15"/>
        <v>0</v>
      </c>
      <c r="CT31" s="93"/>
      <c r="CV31" s="93">
        <f t="shared" si="0"/>
        <v>4761387.324999999</v>
      </c>
      <c r="CW31" s="93"/>
      <c r="CX31" s="93">
        <f t="shared" si="1"/>
        <v>933265.7679999999</v>
      </c>
      <c r="CY31" s="93">
        <f t="shared" si="2"/>
        <v>3828121.5570000005</v>
      </c>
      <c r="CZ31" s="93"/>
    </row>
    <row r="32" spans="1:103" ht="5.25" customHeight="1">
      <c r="A32" s="321"/>
      <c r="CV32" s="93"/>
      <c r="CW32" s="93"/>
      <c r="CX32" s="93"/>
      <c r="CY32" s="93"/>
    </row>
    <row r="33" spans="1:103" ht="12.75">
      <c r="A33" s="318" t="s">
        <v>420</v>
      </c>
      <c r="CV33" s="93"/>
      <c r="CW33" s="93"/>
      <c r="CX33" s="93"/>
      <c r="CY33" s="93"/>
    </row>
    <row r="34" spans="1:104" ht="12.75">
      <c r="A34" s="319" t="s">
        <v>421</v>
      </c>
      <c r="B34" s="204">
        <v>66954.319</v>
      </c>
      <c r="C34" s="220"/>
      <c r="D34" s="204">
        <v>15420</v>
      </c>
      <c r="E34" s="220">
        <v>7710</v>
      </c>
      <c r="F34" s="220">
        <v>7710</v>
      </c>
      <c r="G34" s="220">
        <v>0</v>
      </c>
      <c r="H34" s="220">
        <v>0</v>
      </c>
      <c r="I34" s="220">
        <v>0</v>
      </c>
      <c r="J34" s="204">
        <v>21928.447</v>
      </c>
      <c r="K34" s="220">
        <v>0</v>
      </c>
      <c r="L34" s="204">
        <v>35846</v>
      </c>
      <c r="M34" s="220">
        <v>35846.156</v>
      </c>
      <c r="N34" s="220">
        <v>0</v>
      </c>
      <c r="O34" s="220">
        <v>0</v>
      </c>
      <c r="P34" s="204">
        <v>5814.096</v>
      </c>
      <c r="Q34" s="220">
        <v>0</v>
      </c>
      <c r="R34" s="204">
        <v>5585.321</v>
      </c>
      <c r="S34" s="220">
        <v>0</v>
      </c>
      <c r="T34" s="204">
        <f>8414.344+355.129</f>
        <v>8769.473</v>
      </c>
      <c r="U34" s="220">
        <v>355.129</v>
      </c>
      <c r="V34" s="204">
        <v>1872.245</v>
      </c>
      <c r="W34" s="220">
        <v>1716.079</v>
      </c>
      <c r="X34" s="220">
        <f>+V34-W34</f>
        <v>156.16599999999994</v>
      </c>
      <c r="Y34" s="204">
        <v>14955.712</v>
      </c>
      <c r="Z34" s="220"/>
      <c r="AA34" s="204">
        <v>18649.241</v>
      </c>
      <c r="AB34" s="220"/>
      <c r="AC34" s="204">
        <v>0</v>
      </c>
      <c r="AD34" s="204">
        <v>1425.955</v>
      </c>
      <c r="AE34" s="220"/>
      <c r="AF34" s="204">
        <v>0</v>
      </c>
      <c r="AG34" s="204">
        <v>0</v>
      </c>
      <c r="AH34" s="204">
        <v>1951.185</v>
      </c>
      <c r="AI34" s="204">
        <v>12192.517</v>
      </c>
      <c r="AJ34" s="220">
        <v>0</v>
      </c>
      <c r="AK34" s="204">
        <v>3770.289</v>
      </c>
      <c r="AL34" s="220">
        <v>0</v>
      </c>
      <c r="AM34" s="204">
        <v>0</v>
      </c>
      <c r="AN34" s="220"/>
      <c r="AO34" s="204">
        <v>0</v>
      </c>
      <c r="AP34" s="220"/>
      <c r="AQ34" s="204">
        <v>1713.368</v>
      </c>
      <c r="AR34" s="204">
        <v>0</v>
      </c>
      <c r="AS34" s="220">
        <v>0</v>
      </c>
      <c r="AT34" s="204">
        <v>120.231</v>
      </c>
      <c r="AU34" s="220">
        <v>0</v>
      </c>
      <c r="AV34" s="204">
        <v>0</v>
      </c>
      <c r="AW34" s="220"/>
      <c r="AX34" s="204">
        <v>0</v>
      </c>
      <c r="AY34" s="204">
        <v>0</v>
      </c>
      <c r="AZ34" s="220"/>
      <c r="BA34" s="204">
        <v>215.88</v>
      </c>
      <c r="BB34" s="204">
        <v>0</v>
      </c>
      <c r="BC34" s="220">
        <v>0</v>
      </c>
      <c r="BD34" s="204">
        <v>0</v>
      </c>
      <c r="BE34" s="220"/>
      <c r="BF34" s="204">
        <v>2570.97</v>
      </c>
      <c r="BG34" s="220"/>
      <c r="BH34" s="204">
        <v>0</v>
      </c>
      <c r="BI34" s="220"/>
      <c r="BJ34" s="204">
        <v>0</v>
      </c>
      <c r="BK34" s="204">
        <v>0</v>
      </c>
      <c r="BL34" s="220"/>
      <c r="BM34" s="220"/>
      <c r="BN34" s="204">
        <v>0</v>
      </c>
      <c r="BO34" s="204">
        <v>0</v>
      </c>
      <c r="BP34" s="204">
        <v>0</v>
      </c>
      <c r="BQ34" s="204">
        <v>1070.115</v>
      </c>
      <c r="BR34" s="204">
        <v>13399.376</v>
      </c>
      <c r="BS34" s="220">
        <v>11630.397</v>
      </c>
      <c r="BT34" s="220">
        <v>1768.979</v>
      </c>
      <c r="BU34" s="220">
        <v>0</v>
      </c>
      <c r="BV34" s="204">
        <v>0</v>
      </c>
      <c r="BW34" s="204">
        <v>0</v>
      </c>
      <c r="BX34" s="204">
        <v>0</v>
      </c>
      <c r="BY34" s="220">
        <v>0</v>
      </c>
      <c r="BZ34" s="204">
        <v>0</v>
      </c>
      <c r="CA34" s="220">
        <v>0</v>
      </c>
      <c r="CB34" s="220">
        <v>0</v>
      </c>
      <c r="CC34" s="204">
        <v>0</v>
      </c>
      <c r="CD34" s="204">
        <v>0</v>
      </c>
      <c r="CE34" s="220"/>
      <c r="CF34" s="204">
        <v>0</v>
      </c>
      <c r="CG34" s="204">
        <v>0</v>
      </c>
      <c r="CH34" s="204">
        <v>0</v>
      </c>
      <c r="CI34" s="204">
        <v>0</v>
      </c>
      <c r="CJ34" s="204">
        <v>0</v>
      </c>
      <c r="CK34" s="204">
        <v>0</v>
      </c>
      <c r="CL34" s="204">
        <v>0</v>
      </c>
      <c r="CM34" s="204">
        <v>0</v>
      </c>
      <c r="CN34" s="204">
        <v>0</v>
      </c>
      <c r="CO34" s="204">
        <v>0</v>
      </c>
      <c r="CP34" s="204">
        <v>0</v>
      </c>
      <c r="CQ34" s="220"/>
      <c r="CR34" s="204">
        <v>0</v>
      </c>
      <c r="CS34" s="204">
        <v>0</v>
      </c>
      <c r="CT34" s="204"/>
      <c r="CV34" s="93">
        <f t="shared" si="0"/>
        <v>234224.73999999993</v>
      </c>
      <c r="CW34" s="93"/>
      <c r="CX34" s="93">
        <f t="shared" si="1"/>
        <v>30532.744</v>
      </c>
      <c r="CY34" s="93">
        <f t="shared" si="2"/>
        <v>203691.99599999998</v>
      </c>
      <c r="CZ34" s="204"/>
    </row>
    <row r="35" spans="1:104" ht="12.75">
      <c r="A35" s="319" t="s">
        <v>422</v>
      </c>
      <c r="B35" s="204">
        <v>410898.315</v>
      </c>
      <c r="C35" s="220"/>
      <c r="D35" s="204">
        <v>317067</v>
      </c>
      <c r="E35" s="220">
        <v>230538</v>
      </c>
      <c r="F35" s="220">
        <v>27130</v>
      </c>
      <c r="G35" s="220">
        <v>45059</v>
      </c>
      <c r="H35" s="220">
        <v>13187</v>
      </c>
      <c r="I35" s="220">
        <v>1152</v>
      </c>
      <c r="J35" s="204">
        <v>260003.68</v>
      </c>
      <c r="K35" s="220">
        <v>1745.552</v>
      </c>
      <c r="L35" s="204">
        <v>138991</v>
      </c>
      <c r="M35" s="220">
        <v>139127.246</v>
      </c>
      <c r="N35" s="220">
        <v>0</v>
      </c>
      <c r="O35" s="220">
        <v>-136.555</v>
      </c>
      <c r="P35" s="204">
        <f>98958.661+191.183</f>
        <v>99149.844</v>
      </c>
      <c r="Q35" s="220">
        <f>37.208+191.183</f>
        <v>228.391</v>
      </c>
      <c r="R35" s="204">
        <v>66832.567</v>
      </c>
      <c r="S35" s="220">
        <v>0</v>
      </c>
      <c r="T35" s="204">
        <f>52365.01+1964.7</f>
        <v>54329.71</v>
      </c>
      <c r="U35" s="220">
        <v>1964.7</v>
      </c>
      <c r="V35" s="204">
        <v>599638.958</v>
      </c>
      <c r="W35" s="220">
        <v>443453.698</v>
      </c>
      <c r="X35" s="220">
        <f>+V35-W35</f>
        <v>156185.26</v>
      </c>
      <c r="Y35" s="204">
        <v>130936.305</v>
      </c>
      <c r="Z35" s="220"/>
      <c r="AA35" s="204">
        <v>118585.367</v>
      </c>
      <c r="AB35" s="220"/>
      <c r="AC35" s="204">
        <v>-141277.601</v>
      </c>
      <c r="AD35" s="204">
        <v>51064.655</v>
      </c>
      <c r="AE35" s="220"/>
      <c r="AF35" s="204">
        <v>14282</v>
      </c>
      <c r="AG35" s="204">
        <v>118221.003</v>
      </c>
      <c r="AH35" s="204">
        <v>309802.197</v>
      </c>
      <c r="AI35" s="204">
        <v>15843.697</v>
      </c>
      <c r="AJ35" s="220">
        <v>0</v>
      </c>
      <c r="AK35" s="204">
        <v>74298.93</v>
      </c>
      <c r="AL35" s="220">
        <v>0</v>
      </c>
      <c r="AM35" s="204">
        <v>123947.768</v>
      </c>
      <c r="AN35" s="220"/>
      <c r="AO35" s="204">
        <v>56217.027</v>
      </c>
      <c r="AP35" s="220"/>
      <c r="AQ35" s="204">
        <v>-5349.496</v>
      </c>
      <c r="AR35" s="204">
        <v>284558.88</v>
      </c>
      <c r="AS35" s="220">
        <v>95.849</v>
      </c>
      <c r="AT35" s="204">
        <v>600590.729</v>
      </c>
      <c r="AU35" s="220">
        <v>0.154</v>
      </c>
      <c r="AV35" s="204">
        <v>25469</v>
      </c>
      <c r="AW35" s="220"/>
      <c r="AX35" s="204">
        <v>139071.257</v>
      </c>
      <c r="AY35" s="204">
        <v>11801.894</v>
      </c>
      <c r="AZ35" s="220"/>
      <c r="BA35" s="204">
        <v>137368.272</v>
      </c>
      <c r="BB35" s="204">
        <v>12999.649</v>
      </c>
      <c r="BC35" s="220">
        <f>12999.649-1818.296</f>
        <v>11181.353</v>
      </c>
      <c r="BD35" s="204">
        <v>524976.608</v>
      </c>
      <c r="BE35" s="220"/>
      <c r="BF35" s="204">
        <v>12795.849</v>
      </c>
      <c r="BG35" s="220"/>
      <c r="BH35" s="204">
        <v>78868.162</v>
      </c>
      <c r="BI35" s="220"/>
      <c r="BJ35" s="204">
        <v>104483.808</v>
      </c>
      <c r="BK35" s="204">
        <v>5481.263</v>
      </c>
      <c r="BL35" s="220">
        <v>4748.203</v>
      </c>
      <c r="BM35" s="220">
        <v>733.06</v>
      </c>
      <c r="BN35" s="204">
        <v>928.865</v>
      </c>
      <c r="BO35" s="204">
        <v>1359.481</v>
      </c>
      <c r="BP35" s="204">
        <v>25011.263</v>
      </c>
      <c r="BQ35" s="204">
        <v>367850.244</v>
      </c>
      <c r="BR35" s="204">
        <f>49429.482+2390.814</f>
        <v>51820.296</v>
      </c>
      <c r="BS35" s="220">
        <v>43429.731</v>
      </c>
      <c r="BT35" s="220">
        <v>5999.751</v>
      </c>
      <c r="BU35" s="220">
        <v>2390.814</v>
      </c>
      <c r="BV35" s="204">
        <v>-2625.133</v>
      </c>
      <c r="BW35" s="204">
        <v>9557.947</v>
      </c>
      <c r="BX35" s="204">
        <v>113231.553</v>
      </c>
      <c r="BY35" s="220">
        <v>77862.104</v>
      </c>
      <c r="BZ35" s="204">
        <f>6424.376+28529.085+843.492</f>
        <v>35796.952999999994</v>
      </c>
      <c r="CA35" s="220">
        <v>6426.22</v>
      </c>
      <c r="CB35" s="220">
        <v>29370.733</v>
      </c>
      <c r="CC35" s="204">
        <v>1700.333</v>
      </c>
      <c r="CD35" s="204">
        <v>2133.172</v>
      </c>
      <c r="CE35" s="220"/>
      <c r="CF35" s="204">
        <v>2868.752</v>
      </c>
      <c r="CG35" s="204">
        <v>3970.41</v>
      </c>
      <c r="CH35" s="204">
        <v>63.107</v>
      </c>
      <c r="CI35" s="204">
        <v>545.885</v>
      </c>
      <c r="CJ35" s="204">
        <v>33616.792</v>
      </c>
      <c r="CK35" s="204">
        <v>404.848</v>
      </c>
      <c r="CL35" s="204">
        <v>15937.577</v>
      </c>
      <c r="CM35" s="204">
        <v>18994.47</v>
      </c>
      <c r="CN35" s="204">
        <v>2891.094</v>
      </c>
      <c r="CO35" s="204">
        <v>25975.623</v>
      </c>
      <c r="CP35" s="204">
        <v>8802.931</v>
      </c>
      <c r="CQ35" s="220"/>
      <c r="CR35" s="204">
        <v>4843.988</v>
      </c>
      <c r="CS35" s="204">
        <v>1043.27</v>
      </c>
      <c r="CT35" s="204"/>
      <c r="CV35" s="93">
        <f t="shared" si="0"/>
        <v>5478672.017999998</v>
      </c>
      <c r="CW35" s="93"/>
      <c r="CX35" s="93">
        <f t="shared" si="1"/>
        <v>607466.502</v>
      </c>
      <c r="CY35" s="93">
        <f t="shared" si="2"/>
        <v>4871205.516</v>
      </c>
      <c r="CZ35" s="204"/>
    </row>
    <row r="36" spans="1:104" ht="12.75">
      <c r="A36" s="319" t="s">
        <v>423</v>
      </c>
      <c r="B36" s="204">
        <v>0</v>
      </c>
      <c r="C36" s="220"/>
      <c r="D36" s="204">
        <v>0</v>
      </c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04">
        <v>0</v>
      </c>
      <c r="K36" s="220">
        <v>0</v>
      </c>
      <c r="L36" s="204">
        <v>0</v>
      </c>
      <c r="M36" s="220">
        <v>0</v>
      </c>
      <c r="N36" s="220">
        <v>0</v>
      </c>
      <c r="O36" s="220">
        <v>0</v>
      </c>
      <c r="P36" s="204">
        <v>0</v>
      </c>
      <c r="Q36" s="220">
        <v>0</v>
      </c>
      <c r="R36" s="204">
        <v>0</v>
      </c>
      <c r="S36" s="220">
        <v>0</v>
      </c>
      <c r="T36" s="204">
        <v>0</v>
      </c>
      <c r="U36" s="220">
        <v>0</v>
      </c>
      <c r="V36" s="204">
        <v>0</v>
      </c>
      <c r="W36" s="220">
        <v>0</v>
      </c>
      <c r="X36" s="220">
        <f>+V36-W36</f>
        <v>0</v>
      </c>
      <c r="Y36" s="204">
        <v>0</v>
      </c>
      <c r="Z36" s="220"/>
      <c r="AA36" s="204">
        <v>0</v>
      </c>
      <c r="AB36" s="220"/>
      <c r="AC36" s="204">
        <v>0</v>
      </c>
      <c r="AD36" s="204">
        <v>0</v>
      </c>
      <c r="AE36" s="220"/>
      <c r="AF36" s="204">
        <v>0</v>
      </c>
      <c r="AG36" s="204">
        <v>0</v>
      </c>
      <c r="AH36" s="204">
        <v>0</v>
      </c>
      <c r="AI36" s="204">
        <v>0</v>
      </c>
      <c r="AJ36" s="220">
        <v>0</v>
      </c>
      <c r="AK36" s="204">
        <v>0</v>
      </c>
      <c r="AL36" s="220">
        <v>0</v>
      </c>
      <c r="AM36" s="204">
        <v>0</v>
      </c>
      <c r="AN36" s="220"/>
      <c r="AO36" s="204">
        <v>0</v>
      </c>
      <c r="AP36" s="220"/>
      <c r="AQ36" s="204">
        <v>0</v>
      </c>
      <c r="AR36" s="204">
        <v>0</v>
      </c>
      <c r="AS36" s="220">
        <v>0</v>
      </c>
      <c r="AT36" s="204">
        <v>0</v>
      </c>
      <c r="AU36" s="220">
        <v>0</v>
      </c>
      <c r="AV36" s="204"/>
      <c r="AW36" s="220"/>
      <c r="AX36" s="204">
        <v>0</v>
      </c>
      <c r="AY36" s="204">
        <v>0</v>
      </c>
      <c r="AZ36" s="220"/>
      <c r="BA36" s="204">
        <v>0</v>
      </c>
      <c r="BB36" s="204">
        <v>0</v>
      </c>
      <c r="BC36" s="220">
        <v>0</v>
      </c>
      <c r="BD36" s="204">
        <v>0</v>
      </c>
      <c r="BE36" s="220"/>
      <c r="BF36" s="204">
        <v>0</v>
      </c>
      <c r="BG36" s="220"/>
      <c r="BH36" s="204">
        <v>0</v>
      </c>
      <c r="BI36" s="220"/>
      <c r="BJ36" s="204">
        <v>0</v>
      </c>
      <c r="BK36" s="204">
        <v>0</v>
      </c>
      <c r="BL36" s="220">
        <v>0</v>
      </c>
      <c r="BM36" s="220">
        <v>0</v>
      </c>
      <c r="BN36" s="204">
        <v>0</v>
      </c>
      <c r="BO36" s="204">
        <v>0</v>
      </c>
      <c r="BP36" s="204">
        <v>0</v>
      </c>
      <c r="BQ36" s="204">
        <v>0</v>
      </c>
      <c r="BR36" s="204">
        <v>0</v>
      </c>
      <c r="BS36" s="220">
        <v>0</v>
      </c>
      <c r="BT36" s="220">
        <v>0</v>
      </c>
      <c r="BU36" s="220">
        <v>0</v>
      </c>
      <c r="BV36" s="204">
        <v>0</v>
      </c>
      <c r="BW36" s="204">
        <v>0</v>
      </c>
      <c r="BX36" s="204">
        <v>0</v>
      </c>
      <c r="BY36" s="220">
        <v>0</v>
      </c>
      <c r="BZ36" s="204">
        <v>0</v>
      </c>
      <c r="CA36" s="220">
        <v>0</v>
      </c>
      <c r="CB36" s="220">
        <v>0</v>
      </c>
      <c r="CC36" s="204">
        <v>0</v>
      </c>
      <c r="CD36" s="204">
        <v>0</v>
      </c>
      <c r="CE36" s="220"/>
      <c r="CF36" s="204">
        <v>0</v>
      </c>
      <c r="CG36" s="204">
        <v>0</v>
      </c>
      <c r="CH36" s="204">
        <v>0</v>
      </c>
      <c r="CI36" s="204">
        <v>0</v>
      </c>
      <c r="CJ36" s="204">
        <v>0</v>
      </c>
      <c r="CK36" s="204">
        <v>0</v>
      </c>
      <c r="CL36" s="204">
        <v>0</v>
      </c>
      <c r="CM36" s="204">
        <v>0</v>
      </c>
      <c r="CN36" s="204">
        <v>0</v>
      </c>
      <c r="CO36" s="204">
        <v>0</v>
      </c>
      <c r="CP36" s="204">
        <v>0</v>
      </c>
      <c r="CQ36" s="220"/>
      <c r="CR36" s="204">
        <v>0</v>
      </c>
      <c r="CS36" s="204">
        <v>0</v>
      </c>
      <c r="CT36" s="204"/>
      <c r="CV36" s="93">
        <f t="shared" si="0"/>
        <v>0</v>
      </c>
      <c r="CW36" s="93"/>
      <c r="CX36" s="93">
        <f t="shared" si="1"/>
        <v>0</v>
      </c>
      <c r="CY36" s="93">
        <f t="shared" si="2"/>
        <v>0</v>
      </c>
      <c r="CZ36" s="204"/>
    </row>
    <row r="37" spans="1:104" ht="13.5">
      <c r="A37" s="321" t="s">
        <v>424</v>
      </c>
      <c r="B37" s="93">
        <f aca="true" t="shared" si="16" ref="B37:N37">SUM(B34:B36)</f>
        <v>477852.634</v>
      </c>
      <c r="C37" s="219"/>
      <c r="D37" s="93">
        <f t="shared" si="16"/>
        <v>332487</v>
      </c>
      <c r="E37" s="219">
        <f>SUM(E34:E36)+1</f>
        <v>238249</v>
      </c>
      <c r="F37" s="219">
        <f t="shared" si="16"/>
        <v>34840</v>
      </c>
      <c r="G37" s="219">
        <f t="shared" si="16"/>
        <v>45059</v>
      </c>
      <c r="H37" s="219">
        <f t="shared" si="16"/>
        <v>13187</v>
      </c>
      <c r="I37" s="219">
        <f>SUM(I34:I36)</f>
        <v>1152</v>
      </c>
      <c r="J37" s="93">
        <f t="shared" si="16"/>
        <v>281932.127</v>
      </c>
      <c r="K37" s="219">
        <f>SUM(K34:K36)</f>
        <v>1745.552</v>
      </c>
      <c r="L37" s="93">
        <f t="shared" si="16"/>
        <v>174837</v>
      </c>
      <c r="M37" s="219">
        <f t="shared" si="16"/>
        <v>174973.402</v>
      </c>
      <c r="N37" s="219">
        <f t="shared" si="16"/>
        <v>0</v>
      </c>
      <c r="O37" s="219">
        <f>SUM(O34:O36)</f>
        <v>-136.555</v>
      </c>
      <c r="P37" s="93">
        <f aca="true" t="shared" si="17" ref="P37:BO37">SUM(P34:P36)</f>
        <v>104963.94</v>
      </c>
      <c r="Q37" s="219">
        <f>SUM(Q34:Q36)</f>
        <v>228.391</v>
      </c>
      <c r="R37" s="93">
        <f t="shared" si="17"/>
        <v>72417.88799999999</v>
      </c>
      <c r="S37" s="219">
        <f t="shared" si="17"/>
        <v>0</v>
      </c>
      <c r="T37" s="93">
        <f t="shared" si="17"/>
        <v>63099.183</v>
      </c>
      <c r="U37" s="219">
        <f t="shared" si="17"/>
        <v>2319.829</v>
      </c>
      <c r="V37" s="93">
        <f t="shared" si="17"/>
        <v>601511.203</v>
      </c>
      <c r="W37" s="219">
        <f t="shared" si="17"/>
        <v>445169.777</v>
      </c>
      <c r="X37" s="219">
        <f t="shared" si="17"/>
        <v>156341.426</v>
      </c>
      <c r="Y37" s="93">
        <f t="shared" si="17"/>
        <v>145892.017</v>
      </c>
      <c r="Z37" s="219"/>
      <c r="AA37" s="93">
        <f t="shared" si="17"/>
        <v>137234.608</v>
      </c>
      <c r="AB37" s="219"/>
      <c r="AC37" s="93">
        <f t="shared" si="17"/>
        <v>-141277.601</v>
      </c>
      <c r="AD37" s="93">
        <f t="shared" si="17"/>
        <v>52490.61</v>
      </c>
      <c r="AE37" s="219">
        <v>0</v>
      </c>
      <c r="AF37" s="93">
        <f t="shared" si="17"/>
        <v>14282</v>
      </c>
      <c r="AG37" s="93">
        <f t="shared" si="17"/>
        <v>118221.003</v>
      </c>
      <c r="AH37" s="93">
        <f t="shared" si="17"/>
        <v>311753.382</v>
      </c>
      <c r="AI37" s="93">
        <f t="shared" si="17"/>
        <v>28036.214</v>
      </c>
      <c r="AJ37" s="219">
        <f t="shared" si="17"/>
        <v>0</v>
      </c>
      <c r="AK37" s="93">
        <f t="shared" si="17"/>
        <v>78069.219</v>
      </c>
      <c r="AL37" s="219">
        <f t="shared" si="17"/>
        <v>0</v>
      </c>
      <c r="AM37" s="93">
        <f t="shared" si="17"/>
        <v>123947.768</v>
      </c>
      <c r="AN37" s="219">
        <v>117119</v>
      </c>
      <c r="AO37" s="93">
        <f t="shared" si="17"/>
        <v>56217.027</v>
      </c>
      <c r="AP37" s="219">
        <v>51315</v>
      </c>
      <c r="AQ37" s="93">
        <f t="shared" si="17"/>
        <v>-3636.128</v>
      </c>
      <c r="AR37" s="93">
        <f t="shared" si="17"/>
        <v>284558.88</v>
      </c>
      <c r="AS37" s="219">
        <f t="shared" si="17"/>
        <v>95.849</v>
      </c>
      <c r="AT37" s="93">
        <f t="shared" si="17"/>
        <v>600710.9600000001</v>
      </c>
      <c r="AU37" s="219">
        <f>SUM(AU34:AU36)</f>
        <v>0.154</v>
      </c>
      <c r="AV37" s="93">
        <f t="shared" si="17"/>
        <v>25469</v>
      </c>
      <c r="AW37" s="219"/>
      <c r="AX37" s="93">
        <f t="shared" si="17"/>
        <v>139071.257</v>
      </c>
      <c r="AY37" s="93">
        <f t="shared" si="17"/>
        <v>11801.894</v>
      </c>
      <c r="AZ37" s="219">
        <v>9899.865</v>
      </c>
      <c r="BA37" s="93">
        <f t="shared" si="17"/>
        <v>137584.152</v>
      </c>
      <c r="BB37" s="93">
        <f t="shared" si="17"/>
        <v>12999.649</v>
      </c>
      <c r="BC37" s="219">
        <f t="shared" si="17"/>
        <v>11181.353</v>
      </c>
      <c r="BD37" s="93">
        <f t="shared" si="17"/>
        <v>524976.608</v>
      </c>
      <c r="BE37" s="219"/>
      <c r="BF37" s="93">
        <f t="shared" si="17"/>
        <v>15366.819</v>
      </c>
      <c r="BG37" s="219"/>
      <c r="BH37" s="93">
        <f t="shared" si="17"/>
        <v>78868.162</v>
      </c>
      <c r="BI37" s="219"/>
      <c r="BJ37" s="93">
        <f t="shared" si="17"/>
        <v>104483.808</v>
      </c>
      <c r="BK37" s="93">
        <f t="shared" si="17"/>
        <v>5481.263</v>
      </c>
      <c r="BL37" s="219">
        <f>SUM(BL34:BL36)</f>
        <v>4748.203</v>
      </c>
      <c r="BM37" s="219">
        <f>SUM(BM34:BM36)</f>
        <v>733.06</v>
      </c>
      <c r="BN37" s="93">
        <f t="shared" si="17"/>
        <v>928.865</v>
      </c>
      <c r="BO37" s="93">
        <f t="shared" si="17"/>
        <v>1359.481</v>
      </c>
      <c r="BP37" s="93">
        <f aca="true" t="shared" si="18" ref="BP37:CJ37">SUM(BP34:BP36)</f>
        <v>25011.263</v>
      </c>
      <c r="BQ37" s="93">
        <f t="shared" si="18"/>
        <v>368920.359</v>
      </c>
      <c r="BR37" s="93">
        <f t="shared" si="18"/>
        <v>65219.672000000006</v>
      </c>
      <c r="BS37" s="219">
        <f t="shared" si="18"/>
        <v>55060.128</v>
      </c>
      <c r="BT37" s="219">
        <f t="shared" si="18"/>
        <v>7768.7300000000005</v>
      </c>
      <c r="BU37" s="219">
        <f>SUM(BU34:BU36)</f>
        <v>2390.814</v>
      </c>
      <c r="BV37" s="93">
        <f t="shared" si="18"/>
        <v>-2625.133</v>
      </c>
      <c r="BW37" s="93">
        <f t="shared" si="18"/>
        <v>9557.947</v>
      </c>
      <c r="BX37" s="93">
        <f t="shared" si="18"/>
        <v>113231.553</v>
      </c>
      <c r="BY37" s="219">
        <f>SUM(BY34:BY36)</f>
        <v>77862.104</v>
      </c>
      <c r="BZ37" s="93">
        <f t="shared" si="18"/>
        <v>35796.952999999994</v>
      </c>
      <c r="CA37" s="219">
        <f t="shared" si="18"/>
        <v>6426.22</v>
      </c>
      <c r="CB37" s="219">
        <f t="shared" si="18"/>
        <v>29370.733</v>
      </c>
      <c r="CC37" s="93">
        <f t="shared" si="18"/>
        <v>1700.333</v>
      </c>
      <c r="CD37" s="93">
        <f t="shared" si="18"/>
        <v>2133.172</v>
      </c>
      <c r="CE37" s="219"/>
      <c r="CF37" s="93">
        <f t="shared" si="18"/>
        <v>2868.752</v>
      </c>
      <c r="CG37" s="93">
        <f t="shared" si="18"/>
        <v>3970.41</v>
      </c>
      <c r="CH37" s="93">
        <f t="shared" si="18"/>
        <v>63.107</v>
      </c>
      <c r="CI37" s="93">
        <f t="shared" si="18"/>
        <v>545.885</v>
      </c>
      <c r="CJ37" s="93">
        <f t="shared" si="18"/>
        <v>33616.792</v>
      </c>
      <c r="CK37" s="93">
        <f aca="true" t="shared" si="19" ref="CK37:CS37">SUM(CK34:CK36)</f>
        <v>404.848</v>
      </c>
      <c r="CL37" s="93">
        <f t="shared" si="19"/>
        <v>15937.577</v>
      </c>
      <c r="CM37" s="93">
        <f t="shared" si="19"/>
        <v>18994.47</v>
      </c>
      <c r="CN37" s="93">
        <f t="shared" si="19"/>
        <v>2891.094</v>
      </c>
      <c r="CO37" s="93">
        <f>SUM(CO34:CO36)</f>
        <v>25975.623</v>
      </c>
      <c r="CP37" s="93">
        <f>SUM(CP34:CP36)</f>
        <v>8802.931</v>
      </c>
      <c r="CQ37" s="219"/>
      <c r="CR37" s="93">
        <f t="shared" si="19"/>
        <v>4843.988</v>
      </c>
      <c r="CS37" s="93">
        <f t="shared" si="19"/>
        <v>1043.27</v>
      </c>
      <c r="CT37" s="93"/>
      <c r="CV37" s="93">
        <f t="shared" si="0"/>
        <v>5712896.7579999985</v>
      </c>
      <c r="CW37" s="93"/>
      <c r="CX37" s="93">
        <f t="shared" si="1"/>
        <v>637999.246</v>
      </c>
      <c r="CY37" s="93">
        <f t="shared" si="2"/>
        <v>5074897.511999999</v>
      </c>
      <c r="CZ37" s="93"/>
    </row>
    <row r="38" spans="1:103" ht="6" customHeight="1">
      <c r="A38" s="322"/>
      <c r="CV38" s="93"/>
      <c r="CW38" s="93"/>
      <c r="CX38" s="93"/>
      <c r="CY38" s="93"/>
    </row>
    <row r="39" spans="1:104" ht="12.75">
      <c r="A39" s="319" t="s">
        <v>425</v>
      </c>
      <c r="B39" s="204">
        <v>0</v>
      </c>
      <c r="C39" s="220"/>
      <c r="D39" s="204">
        <v>0</v>
      </c>
      <c r="E39" s="220"/>
      <c r="F39" s="220"/>
      <c r="G39" s="220"/>
      <c r="H39" s="220"/>
      <c r="I39" s="219">
        <v>0</v>
      </c>
      <c r="J39" s="204">
        <v>0</v>
      </c>
      <c r="K39" s="219">
        <v>0</v>
      </c>
      <c r="L39" s="204">
        <v>0</v>
      </c>
      <c r="M39" s="220">
        <v>0</v>
      </c>
      <c r="N39" s="220">
        <v>0</v>
      </c>
      <c r="O39" s="220">
        <v>0</v>
      </c>
      <c r="P39" s="204">
        <v>0</v>
      </c>
      <c r="Q39" s="219">
        <v>0</v>
      </c>
      <c r="R39" s="204">
        <v>0</v>
      </c>
      <c r="S39" s="219">
        <v>0</v>
      </c>
      <c r="T39" s="204">
        <v>0</v>
      </c>
      <c r="U39" s="219">
        <v>0</v>
      </c>
      <c r="V39" s="204">
        <v>0</v>
      </c>
      <c r="W39" s="220">
        <v>0</v>
      </c>
      <c r="X39" s="220">
        <v>0</v>
      </c>
      <c r="Y39" s="204">
        <v>0</v>
      </c>
      <c r="Z39" s="219"/>
      <c r="AA39" s="204">
        <v>0</v>
      </c>
      <c r="AB39" s="220"/>
      <c r="AC39" s="204">
        <v>0</v>
      </c>
      <c r="AD39" s="204">
        <v>0</v>
      </c>
      <c r="AE39" s="220"/>
      <c r="AF39" s="204">
        <v>0</v>
      </c>
      <c r="AG39" s="204">
        <v>0</v>
      </c>
      <c r="AH39" s="204">
        <v>0</v>
      </c>
      <c r="AI39" s="204">
        <v>4503.339</v>
      </c>
      <c r="AJ39" s="220">
        <v>0</v>
      </c>
      <c r="AK39" s="204">
        <v>0</v>
      </c>
      <c r="AL39" s="220">
        <v>0</v>
      </c>
      <c r="AM39" s="204">
        <v>0</v>
      </c>
      <c r="AN39" s="220"/>
      <c r="AO39" s="204">
        <v>0</v>
      </c>
      <c r="AP39" s="220"/>
      <c r="AQ39" s="204">
        <v>0</v>
      </c>
      <c r="AR39" s="204">
        <v>0</v>
      </c>
      <c r="AS39" s="220">
        <v>0</v>
      </c>
      <c r="AT39" s="204">
        <v>0</v>
      </c>
      <c r="AU39" s="220">
        <v>0</v>
      </c>
      <c r="AV39" s="204">
        <v>0</v>
      </c>
      <c r="AW39" s="220"/>
      <c r="AX39" s="204">
        <v>0</v>
      </c>
      <c r="AY39" s="204">
        <v>0</v>
      </c>
      <c r="AZ39" s="220"/>
      <c r="BA39" s="204">
        <v>0</v>
      </c>
      <c r="BB39" s="204">
        <v>0</v>
      </c>
      <c r="BC39" s="220">
        <v>0</v>
      </c>
      <c r="BD39" s="204">
        <v>0</v>
      </c>
      <c r="BE39" s="220"/>
      <c r="BF39" s="204">
        <v>0</v>
      </c>
      <c r="BG39" s="220"/>
      <c r="BH39" s="204">
        <v>0</v>
      </c>
      <c r="BI39" s="219"/>
      <c r="BJ39" s="204">
        <v>0</v>
      </c>
      <c r="BK39" s="204">
        <v>0</v>
      </c>
      <c r="BL39" s="220"/>
      <c r="BM39" s="220"/>
      <c r="BN39" s="204">
        <v>0</v>
      </c>
      <c r="BO39" s="204">
        <v>0</v>
      </c>
      <c r="BP39" s="204">
        <v>0</v>
      </c>
      <c r="BQ39" s="204">
        <v>0</v>
      </c>
      <c r="BR39" s="204">
        <v>0</v>
      </c>
      <c r="BS39" s="220">
        <v>0</v>
      </c>
      <c r="BT39" s="220">
        <v>0</v>
      </c>
      <c r="BU39" s="220">
        <v>0</v>
      </c>
      <c r="BV39" s="204">
        <v>0</v>
      </c>
      <c r="BW39" s="204">
        <v>0</v>
      </c>
      <c r="BX39" s="204">
        <v>0</v>
      </c>
      <c r="BY39" s="220">
        <v>0</v>
      </c>
      <c r="BZ39" s="204">
        <v>0</v>
      </c>
      <c r="CA39" s="220">
        <v>0</v>
      </c>
      <c r="CB39" s="220">
        <v>0</v>
      </c>
      <c r="CC39" s="204">
        <v>0</v>
      </c>
      <c r="CD39" s="204">
        <v>0</v>
      </c>
      <c r="CE39" s="220"/>
      <c r="CF39" s="204">
        <v>0</v>
      </c>
      <c r="CG39" s="204">
        <v>0</v>
      </c>
      <c r="CH39" s="204">
        <v>0</v>
      </c>
      <c r="CI39" s="204">
        <v>0</v>
      </c>
      <c r="CJ39" s="204">
        <v>0</v>
      </c>
      <c r="CK39" s="204">
        <v>0</v>
      </c>
      <c r="CL39" s="204">
        <v>0</v>
      </c>
      <c r="CM39" s="204">
        <v>0</v>
      </c>
      <c r="CN39" s="204">
        <v>0</v>
      </c>
      <c r="CO39" s="204">
        <v>0</v>
      </c>
      <c r="CP39" s="204">
        <v>0</v>
      </c>
      <c r="CQ39" s="220"/>
      <c r="CR39" s="204">
        <v>0</v>
      </c>
      <c r="CS39" s="204">
        <v>0</v>
      </c>
      <c r="CT39" s="204"/>
      <c r="CV39" s="93">
        <f t="shared" si="0"/>
        <v>4503.339</v>
      </c>
      <c r="CW39" s="93"/>
      <c r="CX39" s="93">
        <f t="shared" si="1"/>
        <v>0</v>
      </c>
      <c r="CY39" s="93">
        <f t="shared" si="2"/>
        <v>4503.339</v>
      </c>
      <c r="CZ39" s="93"/>
    </row>
    <row r="40" spans="1:103" ht="5.25" customHeight="1">
      <c r="A40" s="322"/>
      <c r="CV40" s="93"/>
      <c r="CW40" s="93"/>
      <c r="CX40" s="93"/>
      <c r="CY40" s="93"/>
    </row>
    <row r="41" spans="1:104" ht="15.75" customHeight="1">
      <c r="A41" s="321" t="s">
        <v>426</v>
      </c>
      <c r="B41" s="93">
        <f aca="true" t="shared" si="20" ref="B41:H41">B7+B25+B31+B37+B39</f>
        <v>86298797.839</v>
      </c>
      <c r="C41" s="219"/>
      <c r="D41" s="93">
        <f>D7+D25+D31+D37+D39-1</f>
        <v>76785250</v>
      </c>
      <c r="E41" s="219">
        <f t="shared" si="20"/>
        <v>63639394</v>
      </c>
      <c r="F41" s="219">
        <f>F7+F25+F31+F37+F39-1</f>
        <v>12608484</v>
      </c>
      <c r="G41" s="219">
        <f t="shared" si="20"/>
        <v>75885</v>
      </c>
      <c r="H41" s="219">
        <f t="shared" si="20"/>
        <v>13187</v>
      </c>
      <c r="I41" s="219">
        <f>I25+I31+I37+I39</f>
        <v>448300</v>
      </c>
      <c r="J41" s="93">
        <f aca="true" t="shared" si="21" ref="J41:CD41">J7+J25+J31+J37+J39</f>
        <v>48711789.774000004</v>
      </c>
      <c r="K41" s="219">
        <f>K25+K31+K37+K39</f>
        <v>40886.83500000001</v>
      </c>
      <c r="L41" s="93">
        <f t="shared" si="21"/>
        <v>42110991</v>
      </c>
      <c r="M41" s="219">
        <f t="shared" si="21"/>
        <v>42086932.285000004</v>
      </c>
      <c r="N41" s="219">
        <f t="shared" si="21"/>
        <v>106833.71100000001</v>
      </c>
      <c r="O41" s="219">
        <f>O25+O31+O37+O39</f>
        <v>50478.741</v>
      </c>
      <c r="P41" s="93">
        <f t="shared" si="21"/>
        <v>41515181.033</v>
      </c>
      <c r="Q41" s="219">
        <f>Q25+Q31+Q37+Q39</f>
        <v>3720.067</v>
      </c>
      <c r="R41" s="93">
        <f t="shared" si="21"/>
        <v>19525603.26</v>
      </c>
      <c r="S41" s="219">
        <f>S25+S31+S37+S39</f>
        <v>80816.696</v>
      </c>
      <c r="T41" s="93">
        <f t="shared" si="21"/>
        <v>19243795.023</v>
      </c>
      <c r="U41" s="219">
        <f>U25+U31+U37+U39</f>
        <v>19909.640000000003</v>
      </c>
      <c r="V41" s="93">
        <f t="shared" si="21"/>
        <v>17598639.455000002</v>
      </c>
      <c r="W41" s="219">
        <f t="shared" si="21"/>
        <v>15100596.418000001</v>
      </c>
      <c r="X41" s="219">
        <f t="shared" si="21"/>
        <v>2498043.036999999</v>
      </c>
      <c r="Y41" s="93">
        <f t="shared" si="21"/>
        <v>16290384.632</v>
      </c>
      <c r="Z41" s="219"/>
      <c r="AA41" s="93">
        <f t="shared" si="21"/>
        <v>15623822.550999999</v>
      </c>
      <c r="AB41" s="219"/>
      <c r="AC41" s="93">
        <f t="shared" si="21"/>
        <v>13856038.65</v>
      </c>
      <c r="AD41" s="93">
        <f t="shared" si="21"/>
        <v>12283009.131</v>
      </c>
      <c r="AE41" s="219">
        <f t="shared" si="21"/>
        <v>4807</v>
      </c>
      <c r="AF41" s="93">
        <f t="shared" si="21"/>
        <v>11743787</v>
      </c>
      <c r="AG41" s="93">
        <f t="shared" si="21"/>
        <v>11653098.576</v>
      </c>
      <c r="AH41" s="93">
        <f t="shared" si="21"/>
        <v>11032896.967999997</v>
      </c>
      <c r="AI41" s="93">
        <f t="shared" si="21"/>
        <v>10653925.209999999</v>
      </c>
      <c r="AJ41" s="219">
        <f t="shared" si="21"/>
        <v>84863.449</v>
      </c>
      <c r="AK41" s="93">
        <f t="shared" si="21"/>
        <v>10051419.901</v>
      </c>
      <c r="AL41" s="219">
        <f>AL25+AL31+AL37+AL39</f>
        <v>3923.869</v>
      </c>
      <c r="AM41" s="93">
        <f t="shared" si="21"/>
        <v>8867305.872999998</v>
      </c>
      <c r="AN41" s="219">
        <f>AN25+AN31+AN37+AN39</f>
        <v>8378753</v>
      </c>
      <c r="AO41" s="93">
        <f t="shared" si="21"/>
        <v>8504168.356</v>
      </c>
      <c r="AP41" s="219">
        <f>AP25+AP31+AP37+AP39</f>
        <v>7762582</v>
      </c>
      <c r="AQ41" s="93">
        <f t="shared" si="21"/>
        <v>7562626.842</v>
      </c>
      <c r="AR41" s="93">
        <f t="shared" si="21"/>
        <v>7218164.130000001</v>
      </c>
      <c r="AS41" s="219">
        <f>AS25+AS31+AS37+AS39</f>
        <v>2431.277</v>
      </c>
      <c r="AT41" s="93">
        <f t="shared" si="21"/>
        <v>6782032.766000001</v>
      </c>
      <c r="AU41" s="219">
        <f>AU25+AU31+AU37+AU39</f>
        <v>2946.341</v>
      </c>
      <c r="AV41" s="93">
        <f t="shared" si="21"/>
        <v>6470029</v>
      </c>
      <c r="AW41" s="219"/>
      <c r="AX41" s="93">
        <f t="shared" si="21"/>
        <v>6122434.244</v>
      </c>
      <c r="AY41" s="93">
        <f t="shared" si="21"/>
        <v>5557907.597</v>
      </c>
      <c r="AZ41" s="219">
        <f>AZ25+AZ31+AZ37+AZ39</f>
        <v>4662178.536</v>
      </c>
      <c r="BA41" s="93">
        <f t="shared" si="21"/>
        <v>5213181.309</v>
      </c>
      <c r="BB41" s="93">
        <f t="shared" si="21"/>
        <v>4052011.5069999998</v>
      </c>
      <c r="BC41" s="219">
        <f>BC25+BC31+BC37+BC39</f>
        <v>3934412.361</v>
      </c>
      <c r="BD41" s="93">
        <f t="shared" si="21"/>
        <v>3298266.012</v>
      </c>
      <c r="BE41" s="219"/>
      <c r="BF41" s="93">
        <f t="shared" si="21"/>
        <v>3403773.287</v>
      </c>
      <c r="BG41" s="219"/>
      <c r="BH41" s="93">
        <f t="shared" si="21"/>
        <v>3101619.926</v>
      </c>
      <c r="BI41" s="219"/>
      <c r="BJ41" s="93">
        <f t="shared" si="21"/>
        <v>3034334.636</v>
      </c>
      <c r="BK41" s="93">
        <f t="shared" si="21"/>
        <v>2522078.1599999997</v>
      </c>
      <c r="BL41" s="219">
        <f t="shared" si="21"/>
        <v>2293574.648</v>
      </c>
      <c r="BM41" s="219">
        <f t="shared" si="21"/>
        <v>231825.22699999998</v>
      </c>
      <c r="BN41" s="93">
        <f t="shared" si="21"/>
        <v>2371052.359</v>
      </c>
      <c r="BO41" s="93">
        <f t="shared" si="21"/>
        <v>2010196.244</v>
      </c>
      <c r="BP41" s="93">
        <f t="shared" si="21"/>
        <v>1977470.5299999998</v>
      </c>
      <c r="BQ41" s="93">
        <f t="shared" si="21"/>
        <v>1875408.8119999997</v>
      </c>
      <c r="BR41" s="93">
        <f t="shared" si="21"/>
        <v>1506327.738</v>
      </c>
      <c r="BS41" s="219">
        <f t="shared" si="21"/>
        <v>1329531.357</v>
      </c>
      <c r="BT41" s="219">
        <f t="shared" si="21"/>
        <v>157229.36500000002</v>
      </c>
      <c r="BU41" s="219">
        <f>BU25+BU31+BU37+BU39</f>
        <v>19567.016</v>
      </c>
      <c r="BV41" s="93">
        <f t="shared" si="21"/>
        <v>1697089.0720000002</v>
      </c>
      <c r="BW41" s="93">
        <f t="shared" si="21"/>
        <v>1378605.7609999997</v>
      </c>
      <c r="BX41" s="93">
        <f t="shared" si="21"/>
        <v>1320671.9780000001</v>
      </c>
      <c r="BY41" s="219">
        <f>BY25+BY31+BY37+BY39</f>
        <v>1240884.515</v>
      </c>
      <c r="BZ41" s="93">
        <f t="shared" si="21"/>
        <v>1255947.334</v>
      </c>
      <c r="CA41" s="219">
        <f t="shared" si="21"/>
        <v>102430.03400000001</v>
      </c>
      <c r="CB41" s="219">
        <f t="shared" si="21"/>
        <v>1153517.3</v>
      </c>
      <c r="CC41" s="93">
        <f t="shared" si="21"/>
        <v>1195355.1920000003</v>
      </c>
      <c r="CD41" s="93">
        <f t="shared" si="21"/>
        <v>1068173.647</v>
      </c>
      <c r="CE41" s="219"/>
      <c r="CF41" s="93">
        <f aca="true" t="shared" si="22" ref="CF41:CS41">CF7+CF25+CF31+CF37+CF39</f>
        <v>1066448.128</v>
      </c>
      <c r="CG41" s="93">
        <f t="shared" si="22"/>
        <v>767206.9130000001</v>
      </c>
      <c r="CH41" s="93">
        <f t="shared" si="22"/>
        <v>638557.3400000001</v>
      </c>
      <c r="CI41" s="93">
        <f t="shared" si="22"/>
        <v>590126.496</v>
      </c>
      <c r="CJ41" s="93">
        <f>CJ7+CJ25+CJ31+CJ37+CJ39</f>
        <v>469089.30600000004</v>
      </c>
      <c r="CK41" s="93">
        <f t="shared" si="22"/>
        <v>463041.645</v>
      </c>
      <c r="CL41" s="93">
        <f t="shared" si="22"/>
        <v>417759.473</v>
      </c>
      <c r="CM41" s="93">
        <f t="shared" si="22"/>
        <v>289658.037</v>
      </c>
      <c r="CN41" s="93">
        <f t="shared" si="22"/>
        <v>166908.41700000002</v>
      </c>
      <c r="CO41" s="93">
        <f>CO7+CO25+CO31+CO37+CO39</f>
        <v>109293.43900000001</v>
      </c>
      <c r="CP41" s="93">
        <f>CP7+CP25+CP31+CP37+CP39</f>
        <v>84365.347</v>
      </c>
      <c r="CQ41" s="219"/>
      <c r="CR41" s="93">
        <f t="shared" si="22"/>
        <v>76119.492</v>
      </c>
      <c r="CS41" s="93">
        <f t="shared" si="22"/>
        <v>9011.09</v>
      </c>
      <c r="CT41" s="93"/>
      <c r="CV41" s="93">
        <f t="shared" si="0"/>
        <v>569492247.4380001</v>
      </c>
      <c r="CW41" s="93"/>
      <c r="CX41" s="93">
        <f t="shared" si="1"/>
        <v>96838868.40200001</v>
      </c>
      <c r="CY41" s="93">
        <f t="shared" si="2"/>
        <v>472653379.03599995</v>
      </c>
      <c r="CZ41" s="93"/>
    </row>
    <row r="42" spans="1:103" ht="5.25" customHeight="1">
      <c r="A42" s="322"/>
      <c r="CV42" s="93"/>
      <c r="CW42" s="93"/>
      <c r="CX42" s="93"/>
      <c r="CY42" s="93"/>
    </row>
    <row r="43" spans="1:103" ht="12.75">
      <c r="A43" s="318" t="s">
        <v>427</v>
      </c>
      <c r="CV43" s="93"/>
      <c r="CW43" s="93"/>
      <c r="CX43" s="93"/>
      <c r="CY43" s="93"/>
    </row>
    <row r="44" spans="1:103" ht="5.25" customHeight="1">
      <c r="A44" s="322"/>
      <c r="CV44" s="93"/>
      <c r="CW44" s="93"/>
      <c r="CX44" s="93"/>
      <c r="CY44" s="93"/>
    </row>
    <row r="45" spans="1:104" ht="12.75">
      <c r="A45" s="319" t="s">
        <v>428</v>
      </c>
      <c r="B45" s="93">
        <v>0</v>
      </c>
      <c r="C45" s="219"/>
      <c r="D45" s="93">
        <v>11673</v>
      </c>
      <c r="E45" s="219">
        <v>9582</v>
      </c>
      <c r="F45" s="219">
        <v>1946</v>
      </c>
      <c r="G45" s="219">
        <v>124</v>
      </c>
      <c r="H45" s="219">
        <v>21</v>
      </c>
      <c r="I45" s="219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/>
      <c r="R45" s="93">
        <v>0</v>
      </c>
      <c r="S45" s="219"/>
      <c r="T45" s="93">
        <v>0</v>
      </c>
      <c r="U45" s="219"/>
      <c r="V45" s="93">
        <v>0</v>
      </c>
      <c r="W45" s="219">
        <v>0</v>
      </c>
      <c r="X45" s="219">
        <v>0</v>
      </c>
      <c r="Y45" s="93">
        <v>0</v>
      </c>
      <c r="Z45" s="93"/>
      <c r="AA45" s="93">
        <v>0</v>
      </c>
      <c r="AB45" s="93"/>
      <c r="AC45" s="93">
        <v>0</v>
      </c>
      <c r="AD45" s="93">
        <v>0</v>
      </c>
      <c r="AE45" s="93"/>
      <c r="AF45" s="93">
        <v>0</v>
      </c>
      <c r="AG45" s="93">
        <v>0</v>
      </c>
      <c r="AH45" s="93">
        <v>0</v>
      </c>
      <c r="AI45" s="93">
        <v>0</v>
      </c>
      <c r="AJ45" s="93">
        <v>0</v>
      </c>
      <c r="AK45" s="93">
        <v>0</v>
      </c>
      <c r="AL45" s="93"/>
      <c r="AM45" s="93">
        <v>0</v>
      </c>
      <c r="AN45" s="93"/>
      <c r="AO45" s="93">
        <v>0</v>
      </c>
      <c r="AP45" s="93"/>
      <c r="AQ45" s="93">
        <v>1079.399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/>
      <c r="AX45" s="93">
        <v>0</v>
      </c>
      <c r="AY45" s="93">
        <v>0</v>
      </c>
      <c r="AZ45" s="93"/>
      <c r="BA45" s="93">
        <v>0</v>
      </c>
      <c r="BB45" s="93">
        <v>0</v>
      </c>
      <c r="BC45" s="93">
        <v>0</v>
      </c>
      <c r="BD45" s="93">
        <v>0</v>
      </c>
      <c r="BE45" s="93"/>
      <c r="BF45" s="93">
        <v>0</v>
      </c>
      <c r="BG45" s="93"/>
      <c r="BH45" s="93">
        <v>0</v>
      </c>
      <c r="BI45" s="93"/>
      <c r="BJ45" s="93">
        <v>0</v>
      </c>
      <c r="BK45" s="93">
        <v>0</v>
      </c>
      <c r="BL45" s="93">
        <v>0</v>
      </c>
      <c r="BM45" s="93">
        <v>0</v>
      </c>
      <c r="BN45" s="93">
        <v>0</v>
      </c>
      <c r="BO45" s="93">
        <v>0</v>
      </c>
      <c r="BP45" s="93">
        <v>0</v>
      </c>
      <c r="BQ45" s="93">
        <v>0</v>
      </c>
      <c r="BR45" s="93">
        <v>0</v>
      </c>
      <c r="BS45" s="93">
        <v>0</v>
      </c>
      <c r="BT45" s="93">
        <v>0</v>
      </c>
      <c r="BU45" s="93"/>
      <c r="BV45" s="93">
        <v>61798.824</v>
      </c>
      <c r="BW45" s="93">
        <v>0</v>
      </c>
      <c r="BX45" s="93">
        <v>0</v>
      </c>
      <c r="BY45" s="93"/>
      <c r="BZ45" s="93">
        <v>0</v>
      </c>
      <c r="CA45" s="93">
        <v>0</v>
      </c>
      <c r="CB45" s="93">
        <v>0</v>
      </c>
      <c r="CC45" s="93">
        <v>0</v>
      </c>
      <c r="CD45" s="93">
        <v>0</v>
      </c>
      <c r="CE45" s="93"/>
      <c r="CF45" s="93">
        <v>0</v>
      </c>
      <c r="CG45" s="93">
        <v>0</v>
      </c>
      <c r="CH45" s="93">
        <v>0</v>
      </c>
      <c r="CI45" s="93">
        <v>0</v>
      </c>
      <c r="CJ45" s="93">
        <v>0</v>
      </c>
      <c r="CK45" s="93">
        <v>0</v>
      </c>
      <c r="CL45" s="93">
        <v>0</v>
      </c>
      <c r="CM45" s="93">
        <v>0</v>
      </c>
      <c r="CN45" s="93">
        <v>0</v>
      </c>
      <c r="CO45" s="93">
        <v>0</v>
      </c>
      <c r="CP45" s="93">
        <v>0</v>
      </c>
      <c r="CQ45" s="93"/>
      <c r="CR45" s="93">
        <v>0</v>
      </c>
      <c r="CS45" s="93">
        <v>0</v>
      </c>
      <c r="CT45" s="93"/>
      <c r="CV45" s="93">
        <f t="shared" si="0"/>
        <v>74551.223</v>
      </c>
      <c r="CW45" s="93"/>
      <c r="CX45" s="93">
        <f t="shared" si="1"/>
        <v>12752.399</v>
      </c>
      <c r="CY45" s="93">
        <f t="shared" si="2"/>
        <v>61798.824</v>
      </c>
      <c r="CZ45" s="93"/>
    </row>
    <row r="46" spans="1:103" ht="6" customHeight="1">
      <c r="A46" s="322"/>
      <c r="CV46" s="93"/>
      <c r="CW46" s="93"/>
      <c r="CX46" s="93"/>
      <c r="CY46" s="93"/>
    </row>
    <row r="47" spans="1:103" ht="12.75">
      <c r="A47" s="319" t="s">
        <v>429</v>
      </c>
      <c r="CV47" s="93"/>
      <c r="CW47" s="93"/>
      <c r="CX47" s="93"/>
      <c r="CY47" s="93"/>
    </row>
    <row r="48" spans="1:104" ht="12.75">
      <c r="A48" s="15" t="s">
        <v>430</v>
      </c>
      <c r="B48" s="204">
        <v>0</v>
      </c>
      <c r="C48" s="220"/>
      <c r="D48" s="204">
        <v>0</v>
      </c>
      <c r="E48" s="220">
        <v>0</v>
      </c>
      <c r="F48" s="220">
        <v>0</v>
      </c>
      <c r="G48" s="220">
        <v>0</v>
      </c>
      <c r="H48" s="220">
        <v>0</v>
      </c>
      <c r="I48" s="220">
        <v>0</v>
      </c>
      <c r="J48" s="204">
        <v>0</v>
      </c>
      <c r="K48" s="220">
        <v>0</v>
      </c>
      <c r="L48" s="204">
        <v>0</v>
      </c>
      <c r="M48" s="220">
        <v>0</v>
      </c>
      <c r="N48" s="220">
        <v>0</v>
      </c>
      <c r="O48" s="220">
        <v>0</v>
      </c>
      <c r="P48" s="204">
        <v>0</v>
      </c>
      <c r="Q48" s="220">
        <v>0</v>
      </c>
      <c r="R48" s="204">
        <v>0</v>
      </c>
      <c r="S48" s="220">
        <v>0</v>
      </c>
      <c r="T48" s="204">
        <v>0</v>
      </c>
      <c r="U48" s="220">
        <v>303.585</v>
      </c>
      <c r="V48" s="204">
        <v>0</v>
      </c>
      <c r="W48" s="220">
        <v>0</v>
      </c>
      <c r="X48" s="220">
        <v>0</v>
      </c>
      <c r="Y48" s="204">
        <v>0</v>
      </c>
      <c r="Z48" s="220"/>
      <c r="AA48" s="204">
        <v>0</v>
      </c>
      <c r="AB48" s="220"/>
      <c r="AC48" s="204">
        <v>0</v>
      </c>
      <c r="AD48" s="204">
        <v>0</v>
      </c>
      <c r="AE48" s="220"/>
      <c r="AF48" s="204">
        <v>0</v>
      </c>
      <c r="AG48" s="204">
        <v>0</v>
      </c>
      <c r="AH48" s="204">
        <v>0</v>
      </c>
      <c r="AI48" s="204">
        <v>0</v>
      </c>
      <c r="AJ48" s="220">
        <v>0</v>
      </c>
      <c r="AK48" s="204">
        <v>0</v>
      </c>
      <c r="AL48" s="220">
        <v>0</v>
      </c>
      <c r="AM48" s="204">
        <v>0</v>
      </c>
      <c r="AN48" s="220"/>
      <c r="AO48" s="204">
        <v>0</v>
      </c>
      <c r="AP48" s="220"/>
      <c r="AQ48" s="204">
        <v>0</v>
      </c>
      <c r="AR48" s="204">
        <v>0</v>
      </c>
      <c r="AS48" s="220">
        <v>0</v>
      </c>
      <c r="AT48" s="204">
        <v>0</v>
      </c>
      <c r="AU48" s="220">
        <v>0</v>
      </c>
      <c r="AV48" s="204">
        <v>0</v>
      </c>
      <c r="AW48" s="220"/>
      <c r="AX48" s="204">
        <v>0</v>
      </c>
      <c r="AY48" s="204">
        <v>0</v>
      </c>
      <c r="AZ48" s="220"/>
      <c r="BA48" s="204">
        <v>0</v>
      </c>
      <c r="BB48" s="204">
        <v>0</v>
      </c>
      <c r="BC48" s="220">
        <f>10177.579+19.202</f>
        <v>10196.780999999999</v>
      </c>
      <c r="BD48" s="204">
        <v>0</v>
      </c>
      <c r="BE48" s="220"/>
      <c r="BF48" s="204">
        <v>0</v>
      </c>
      <c r="BG48" s="220"/>
      <c r="BH48" s="204">
        <v>0</v>
      </c>
      <c r="BI48" s="220"/>
      <c r="BJ48" s="204">
        <v>0</v>
      </c>
      <c r="BK48" s="204">
        <v>0</v>
      </c>
      <c r="BL48" s="220">
        <v>0</v>
      </c>
      <c r="BM48" s="220">
        <v>0</v>
      </c>
      <c r="BN48" s="204">
        <v>0</v>
      </c>
      <c r="BO48" s="204">
        <v>0</v>
      </c>
      <c r="BP48" s="204">
        <v>0</v>
      </c>
      <c r="BQ48" s="204">
        <v>0</v>
      </c>
      <c r="BR48" s="204">
        <v>0</v>
      </c>
      <c r="BS48" s="220">
        <v>0</v>
      </c>
      <c r="BT48" s="220">
        <v>0</v>
      </c>
      <c r="BU48" s="220">
        <v>0</v>
      </c>
      <c r="BV48" s="204">
        <v>0</v>
      </c>
      <c r="BW48" s="204">
        <v>0</v>
      </c>
      <c r="BX48" s="204">
        <v>0</v>
      </c>
      <c r="BY48" s="220">
        <v>0</v>
      </c>
      <c r="BZ48" s="204">
        <v>0</v>
      </c>
      <c r="CA48" s="220">
        <v>0</v>
      </c>
      <c r="CB48" s="220">
        <v>0</v>
      </c>
      <c r="CC48" s="204">
        <v>0</v>
      </c>
      <c r="CD48" s="204">
        <v>0</v>
      </c>
      <c r="CE48" s="220"/>
      <c r="CF48" s="204">
        <v>0</v>
      </c>
      <c r="CG48" s="204">
        <v>0</v>
      </c>
      <c r="CH48" s="204">
        <v>0</v>
      </c>
      <c r="CI48" s="204">
        <v>0</v>
      </c>
      <c r="CJ48" s="204">
        <v>0</v>
      </c>
      <c r="CK48" s="204">
        <v>0</v>
      </c>
      <c r="CL48" s="204">
        <v>0</v>
      </c>
      <c r="CM48" s="204">
        <v>0</v>
      </c>
      <c r="CN48" s="204">
        <v>0</v>
      </c>
      <c r="CO48" s="204">
        <v>0</v>
      </c>
      <c r="CP48" s="204">
        <v>0</v>
      </c>
      <c r="CQ48" s="220"/>
      <c r="CR48" s="204">
        <v>0</v>
      </c>
      <c r="CS48" s="204">
        <v>0</v>
      </c>
      <c r="CT48" s="204"/>
      <c r="CV48" s="93">
        <f t="shared" si="0"/>
        <v>0</v>
      </c>
      <c r="CW48" s="93"/>
      <c r="CX48" s="93">
        <f t="shared" si="1"/>
        <v>0</v>
      </c>
      <c r="CY48" s="93">
        <f t="shared" si="2"/>
        <v>0</v>
      </c>
      <c r="CZ48" s="204"/>
    </row>
    <row r="49" spans="1:104" ht="12.75">
      <c r="A49" s="319" t="s">
        <v>431</v>
      </c>
      <c r="B49" s="204">
        <v>0</v>
      </c>
      <c r="C49" s="220"/>
      <c r="D49" s="204">
        <v>0</v>
      </c>
      <c r="E49" s="220">
        <v>0</v>
      </c>
      <c r="F49" s="220">
        <v>0</v>
      </c>
      <c r="G49" s="220">
        <v>0</v>
      </c>
      <c r="H49" s="220">
        <v>0</v>
      </c>
      <c r="I49" s="220">
        <v>0</v>
      </c>
      <c r="J49" s="204">
        <v>330101.273</v>
      </c>
      <c r="K49" s="220">
        <v>0</v>
      </c>
      <c r="L49" s="204">
        <v>0</v>
      </c>
      <c r="M49" s="220">
        <v>0</v>
      </c>
      <c r="N49" s="220">
        <v>0</v>
      </c>
      <c r="O49" s="220">
        <v>0</v>
      </c>
      <c r="P49" s="204">
        <f>281419.117+191.183</f>
        <v>281610.30000000005</v>
      </c>
      <c r="Q49" s="220">
        <v>191.183</v>
      </c>
      <c r="R49" s="204">
        <v>229.883</v>
      </c>
      <c r="S49" s="220">
        <v>0</v>
      </c>
      <c r="T49" s="204">
        <v>0</v>
      </c>
      <c r="U49" s="220">
        <v>0</v>
      </c>
      <c r="V49" s="204">
        <v>0</v>
      </c>
      <c r="W49" s="220">
        <v>0</v>
      </c>
      <c r="X49" s="220">
        <v>0</v>
      </c>
      <c r="Y49" s="204">
        <v>0</v>
      </c>
      <c r="Z49" s="220"/>
      <c r="AA49" s="204">
        <v>0</v>
      </c>
      <c r="AB49" s="220"/>
      <c r="AC49" s="204">
        <v>0</v>
      </c>
      <c r="AD49" s="204">
        <v>22514.377</v>
      </c>
      <c r="AE49" s="220"/>
      <c r="AF49" s="204">
        <v>0</v>
      </c>
      <c r="AG49" s="204">
        <v>0</v>
      </c>
      <c r="AH49" s="204">
        <v>0</v>
      </c>
      <c r="AI49" s="204">
        <v>0</v>
      </c>
      <c r="AJ49" s="220">
        <v>0</v>
      </c>
      <c r="AK49" s="204">
        <v>0</v>
      </c>
      <c r="AL49" s="220">
        <v>0</v>
      </c>
      <c r="AM49" s="204">
        <v>0</v>
      </c>
      <c r="AN49" s="220"/>
      <c r="AO49" s="204">
        <v>0</v>
      </c>
      <c r="AP49" s="220"/>
      <c r="AQ49" s="204">
        <v>0</v>
      </c>
      <c r="AR49" s="204">
        <v>0</v>
      </c>
      <c r="AS49" s="220">
        <v>0</v>
      </c>
      <c r="AT49" s="204">
        <v>0</v>
      </c>
      <c r="AU49" s="220">
        <v>0</v>
      </c>
      <c r="AV49" s="204">
        <v>11114</v>
      </c>
      <c r="AW49" s="220"/>
      <c r="AX49" s="204">
        <v>0</v>
      </c>
      <c r="AY49" s="204">
        <v>0</v>
      </c>
      <c r="AZ49" s="220"/>
      <c r="BA49" s="204">
        <v>0</v>
      </c>
      <c r="BB49" s="204">
        <v>0</v>
      </c>
      <c r="BC49" s="220">
        <v>0</v>
      </c>
      <c r="BD49" s="204">
        <v>0</v>
      </c>
      <c r="BE49" s="220"/>
      <c r="BF49" s="204">
        <v>188478.12</v>
      </c>
      <c r="BG49" s="220"/>
      <c r="BH49" s="204">
        <v>0</v>
      </c>
      <c r="BI49" s="220"/>
      <c r="BJ49" s="204">
        <v>0</v>
      </c>
      <c r="BK49" s="204">
        <v>0</v>
      </c>
      <c r="BL49" s="220">
        <v>0</v>
      </c>
      <c r="BM49" s="220">
        <v>0</v>
      </c>
      <c r="BN49" s="204">
        <v>0</v>
      </c>
      <c r="BO49" s="204">
        <v>0</v>
      </c>
      <c r="BP49" s="204">
        <v>0</v>
      </c>
      <c r="BQ49" s="204">
        <v>0</v>
      </c>
      <c r="BR49" s="204">
        <v>0</v>
      </c>
      <c r="BS49" s="220">
        <v>0</v>
      </c>
      <c r="BT49" s="220">
        <v>0</v>
      </c>
      <c r="BU49" s="220">
        <v>0</v>
      </c>
      <c r="BV49" s="204">
        <v>0</v>
      </c>
      <c r="BW49" s="204">
        <v>0</v>
      </c>
      <c r="BX49" s="204">
        <v>0</v>
      </c>
      <c r="BY49" s="220">
        <v>0</v>
      </c>
      <c r="BZ49" s="204">
        <v>0</v>
      </c>
      <c r="CA49" s="220">
        <v>0</v>
      </c>
      <c r="CB49" s="220">
        <v>0</v>
      </c>
      <c r="CC49" s="204">
        <v>0</v>
      </c>
      <c r="CD49" s="204">
        <v>0</v>
      </c>
      <c r="CE49" s="220"/>
      <c r="CF49" s="204">
        <v>0</v>
      </c>
      <c r="CG49" s="204">
        <v>0</v>
      </c>
      <c r="CH49" s="204">
        <v>0</v>
      </c>
      <c r="CI49" s="204">
        <v>0</v>
      </c>
      <c r="CJ49" s="204">
        <v>0</v>
      </c>
      <c r="CK49" s="204">
        <v>0</v>
      </c>
      <c r="CL49" s="204">
        <v>0</v>
      </c>
      <c r="CM49" s="204">
        <v>0</v>
      </c>
      <c r="CN49" s="204">
        <v>0</v>
      </c>
      <c r="CO49" s="204">
        <v>0</v>
      </c>
      <c r="CP49" s="204">
        <v>0</v>
      </c>
      <c r="CQ49" s="220"/>
      <c r="CR49" s="204">
        <v>0</v>
      </c>
      <c r="CS49" s="204">
        <v>0</v>
      </c>
      <c r="CT49" s="204"/>
      <c r="CV49" s="93">
        <f t="shared" si="0"/>
        <v>834047.9530000001</v>
      </c>
      <c r="CW49" s="93"/>
      <c r="CX49" s="93">
        <f t="shared" si="1"/>
        <v>0</v>
      </c>
      <c r="CY49" s="93">
        <f t="shared" si="2"/>
        <v>834047.9530000001</v>
      </c>
      <c r="CZ49" s="204"/>
    </row>
    <row r="50" spans="1:104" ht="12.75">
      <c r="A50" s="319" t="s">
        <v>432</v>
      </c>
      <c r="B50" s="204">
        <v>0</v>
      </c>
      <c r="C50" s="220"/>
      <c r="D50" s="204">
        <v>53595</v>
      </c>
      <c r="E50" s="220">
        <v>26797</v>
      </c>
      <c r="F50" s="220">
        <v>26797</v>
      </c>
      <c r="G50" s="220">
        <v>0</v>
      </c>
      <c r="H50" s="220">
        <v>0</v>
      </c>
      <c r="I50" s="220">
        <v>0</v>
      </c>
      <c r="J50" s="204">
        <v>0</v>
      </c>
      <c r="K50" s="220">
        <v>0</v>
      </c>
      <c r="L50" s="204">
        <v>0</v>
      </c>
      <c r="M50" s="220">
        <v>0</v>
      </c>
      <c r="N50" s="220">
        <v>0</v>
      </c>
      <c r="O50" s="220">
        <v>0</v>
      </c>
      <c r="P50" s="204">
        <v>0</v>
      </c>
      <c r="Q50" s="220">
        <v>0</v>
      </c>
      <c r="R50" s="204">
        <v>0</v>
      </c>
      <c r="S50" s="220">
        <v>0</v>
      </c>
      <c r="T50" s="204">
        <v>0</v>
      </c>
      <c r="U50" s="220">
        <v>0</v>
      </c>
      <c r="V50" s="204">
        <v>0</v>
      </c>
      <c r="W50" s="220">
        <v>0</v>
      </c>
      <c r="X50" s="220">
        <v>0</v>
      </c>
      <c r="Y50" s="204">
        <v>0</v>
      </c>
      <c r="Z50" s="220"/>
      <c r="AA50" s="204">
        <v>0</v>
      </c>
      <c r="AB50" s="220"/>
      <c r="AC50" s="204">
        <v>0</v>
      </c>
      <c r="AD50" s="204">
        <v>0</v>
      </c>
      <c r="AE50" s="220"/>
      <c r="AF50" s="204">
        <v>0</v>
      </c>
      <c r="AG50" s="204">
        <v>0</v>
      </c>
      <c r="AH50" s="204">
        <v>0</v>
      </c>
      <c r="AI50" s="204">
        <v>0</v>
      </c>
      <c r="AJ50" s="220">
        <v>0</v>
      </c>
      <c r="AK50" s="204">
        <v>0</v>
      </c>
      <c r="AL50" s="220">
        <v>0</v>
      </c>
      <c r="AM50" s="204">
        <v>0</v>
      </c>
      <c r="AN50" s="220"/>
      <c r="AO50" s="204">
        <v>0</v>
      </c>
      <c r="AP50" s="220"/>
      <c r="AQ50" s="204">
        <v>5954.963</v>
      </c>
      <c r="AR50" s="204">
        <v>0</v>
      </c>
      <c r="AS50" s="220">
        <v>0</v>
      </c>
      <c r="AT50" s="204">
        <v>0</v>
      </c>
      <c r="AU50" s="220">
        <v>0</v>
      </c>
      <c r="AV50" s="204">
        <v>0</v>
      </c>
      <c r="AW50" s="220"/>
      <c r="AX50" s="204">
        <v>0</v>
      </c>
      <c r="AY50" s="204">
        <v>0</v>
      </c>
      <c r="AZ50" s="220"/>
      <c r="BA50" s="204">
        <v>0</v>
      </c>
      <c r="BB50" s="204">
        <v>0</v>
      </c>
      <c r="BC50" s="220">
        <v>0</v>
      </c>
      <c r="BD50" s="204">
        <v>0</v>
      </c>
      <c r="BE50" s="220"/>
      <c r="BF50" s="204">
        <v>0</v>
      </c>
      <c r="BG50" s="220"/>
      <c r="BH50" s="204">
        <v>0</v>
      </c>
      <c r="BI50" s="220"/>
      <c r="BJ50" s="204">
        <v>0</v>
      </c>
      <c r="BK50" s="204">
        <v>0</v>
      </c>
      <c r="BL50" s="220">
        <v>0</v>
      </c>
      <c r="BM50" s="220">
        <v>0</v>
      </c>
      <c r="BN50" s="204">
        <v>0</v>
      </c>
      <c r="BO50" s="204">
        <v>0</v>
      </c>
      <c r="BP50" s="204">
        <v>0</v>
      </c>
      <c r="BQ50" s="204">
        <v>0</v>
      </c>
      <c r="BR50" s="204">
        <v>0</v>
      </c>
      <c r="BS50" s="220">
        <v>0</v>
      </c>
      <c r="BT50" s="220">
        <v>0</v>
      </c>
      <c r="BU50" s="220">
        <v>0</v>
      </c>
      <c r="BV50" s="204">
        <v>0</v>
      </c>
      <c r="BW50" s="204">
        <v>0</v>
      </c>
      <c r="BX50" s="204">
        <v>0</v>
      </c>
      <c r="BY50" s="220">
        <v>0</v>
      </c>
      <c r="BZ50" s="204">
        <v>0</v>
      </c>
      <c r="CA50" s="220">
        <v>0</v>
      </c>
      <c r="CB50" s="220">
        <v>0</v>
      </c>
      <c r="CC50" s="204">
        <v>0</v>
      </c>
      <c r="CD50" s="204">
        <v>0</v>
      </c>
      <c r="CE50" s="220"/>
      <c r="CF50" s="204">
        <v>0</v>
      </c>
      <c r="CG50" s="204">
        <v>0</v>
      </c>
      <c r="CH50" s="204">
        <v>0</v>
      </c>
      <c r="CI50" s="204">
        <v>0</v>
      </c>
      <c r="CJ50" s="204">
        <v>0</v>
      </c>
      <c r="CK50" s="204">
        <v>0</v>
      </c>
      <c r="CL50" s="204">
        <v>0</v>
      </c>
      <c r="CM50" s="204">
        <v>0</v>
      </c>
      <c r="CN50" s="204">
        <v>0</v>
      </c>
      <c r="CO50" s="204">
        <v>0</v>
      </c>
      <c r="CP50" s="204">
        <v>0</v>
      </c>
      <c r="CQ50" s="220"/>
      <c r="CR50" s="204">
        <v>0</v>
      </c>
      <c r="CS50" s="204">
        <v>0</v>
      </c>
      <c r="CT50" s="204"/>
      <c r="CV50" s="93">
        <f t="shared" si="0"/>
        <v>59549.963</v>
      </c>
      <c r="CW50" s="93"/>
      <c r="CX50" s="93">
        <f t="shared" si="1"/>
        <v>59549.963</v>
      </c>
      <c r="CY50" s="93">
        <f t="shared" si="2"/>
        <v>0</v>
      </c>
      <c r="CZ50" s="204"/>
    </row>
    <row r="51" spans="1:104" ht="12.75">
      <c r="A51" s="319" t="s">
        <v>433</v>
      </c>
      <c r="B51" s="204">
        <v>612041.738</v>
      </c>
      <c r="C51" s="220"/>
      <c r="D51" s="204">
        <v>632089</v>
      </c>
      <c r="E51" s="220">
        <v>523761</v>
      </c>
      <c r="F51" s="220">
        <v>102367</v>
      </c>
      <c r="G51" s="220">
        <v>22</v>
      </c>
      <c r="H51" s="220"/>
      <c r="I51" s="220">
        <v>5938</v>
      </c>
      <c r="J51" s="204">
        <v>297228.9</v>
      </c>
      <c r="K51" s="220">
        <v>0</v>
      </c>
      <c r="L51" s="204">
        <v>18831</v>
      </c>
      <c r="M51" s="220">
        <v>152085.899</v>
      </c>
      <c r="N51" s="220">
        <v>0</v>
      </c>
      <c r="O51" s="220">
        <v>0</v>
      </c>
      <c r="P51" s="204">
        <v>11289.919</v>
      </c>
      <c r="Q51" s="220">
        <v>0</v>
      </c>
      <c r="R51" s="204">
        <v>21140.074</v>
      </c>
      <c r="S51" s="220">
        <v>0</v>
      </c>
      <c r="T51" s="204">
        <v>1066.261</v>
      </c>
      <c r="U51" s="220">
        <v>0</v>
      </c>
      <c r="V51" s="204">
        <v>0</v>
      </c>
      <c r="W51" s="220">
        <v>0</v>
      </c>
      <c r="X51" s="220">
        <v>0</v>
      </c>
      <c r="Y51" s="204">
        <v>13152.107</v>
      </c>
      <c r="Z51" s="220"/>
      <c r="AA51" s="204">
        <v>19645.363</v>
      </c>
      <c r="AB51" s="220"/>
      <c r="AC51" s="204">
        <v>1455.538</v>
      </c>
      <c r="AD51" s="204">
        <v>22367.092</v>
      </c>
      <c r="AE51" s="220"/>
      <c r="AF51" s="204">
        <v>1313</v>
      </c>
      <c r="AG51" s="204">
        <v>102746.961</v>
      </c>
      <c r="AH51" s="204">
        <v>19390.981</v>
      </c>
      <c r="AI51" s="204">
        <v>10570.358</v>
      </c>
      <c r="AJ51" s="220">
        <v>0</v>
      </c>
      <c r="AK51" s="204">
        <v>5471.285</v>
      </c>
      <c r="AL51" s="220">
        <v>0</v>
      </c>
      <c r="AM51" s="204">
        <v>4749.297</v>
      </c>
      <c r="AN51" s="220"/>
      <c r="AO51" s="204">
        <v>631.875</v>
      </c>
      <c r="AP51" s="220"/>
      <c r="AQ51" s="204">
        <v>50819.076</v>
      </c>
      <c r="AR51" s="204">
        <f>27059.761+1880.738</f>
        <v>28940.499</v>
      </c>
      <c r="AS51" s="220">
        <v>9.748</v>
      </c>
      <c r="AT51" s="204">
        <f>32.145+8835.131</f>
        <v>8867.276</v>
      </c>
      <c r="AU51" s="220">
        <v>0</v>
      </c>
      <c r="AV51" s="204">
        <v>1504</v>
      </c>
      <c r="AW51" s="220"/>
      <c r="AX51" s="204">
        <v>51654.932</v>
      </c>
      <c r="AY51" s="204">
        <v>215.726</v>
      </c>
      <c r="AZ51" s="220"/>
      <c r="BA51" s="204">
        <v>607.379</v>
      </c>
      <c r="BB51" s="204">
        <v>28398.916</v>
      </c>
      <c r="BC51" s="220">
        <f>28398.916-441.594</f>
        <v>27957.322</v>
      </c>
      <c r="BD51" s="204">
        <v>6529.231</v>
      </c>
      <c r="BE51" s="220"/>
      <c r="BF51" s="204">
        <v>567.664</v>
      </c>
      <c r="BG51" s="220"/>
      <c r="BH51" s="204">
        <v>1089.534</v>
      </c>
      <c r="BI51" s="220"/>
      <c r="BJ51" s="204">
        <v>27643.397</v>
      </c>
      <c r="BK51" s="204">
        <v>585.233</v>
      </c>
      <c r="BL51" s="220">
        <f>3321.715+515.006</f>
        <v>3836.721</v>
      </c>
      <c r="BM51" s="220">
        <v>70.227</v>
      </c>
      <c r="BN51" s="204">
        <v>181.915</v>
      </c>
      <c r="BO51" s="204">
        <v>16762.36</v>
      </c>
      <c r="BP51" s="204">
        <v>0</v>
      </c>
      <c r="BQ51" s="204">
        <v>233.731</v>
      </c>
      <c r="BR51" s="204">
        <v>23064.335</v>
      </c>
      <c r="BS51" s="220">
        <v>20264.786</v>
      </c>
      <c r="BT51" s="220">
        <v>2799.549</v>
      </c>
      <c r="BU51" s="220">
        <v>0</v>
      </c>
      <c r="BV51" s="204">
        <v>196520.808</v>
      </c>
      <c r="BW51" s="204">
        <f>21833.473+7550.71</f>
        <v>29384.183</v>
      </c>
      <c r="BX51" s="204">
        <v>9722.697</v>
      </c>
      <c r="BY51" s="220">
        <v>9374.555</v>
      </c>
      <c r="BZ51" s="204">
        <v>4177.574</v>
      </c>
      <c r="CA51" s="220">
        <v>0</v>
      </c>
      <c r="CB51" s="220">
        <v>4177.574</v>
      </c>
      <c r="CC51" s="204">
        <v>9623.438</v>
      </c>
      <c r="CD51" s="204">
        <v>161.779</v>
      </c>
      <c r="CE51" s="220"/>
      <c r="CF51" s="204">
        <v>9075.313</v>
      </c>
      <c r="CG51" s="204">
        <v>1152.521</v>
      </c>
      <c r="CH51" s="204">
        <v>1401.404</v>
      </c>
      <c r="CI51" s="204">
        <v>8392.939</v>
      </c>
      <c r="CJ51" s="204">
        <v>1497.451</v>
      </c>
      <c r="CK51" s="204">
        <v>7536.127</v>
      </c>
      <c r="CL51" s="204">
        <v>0</v>
      </c>
      <c r="CM51" s="204">
        <v>2458.505</v>
      </c>
      <c r="CN51" s="204">
        <v>1734.579</v>
      </c>
      <c r="CO51" s="204">
        <v>0</v>
      </c>
      <c r="CP51" s="204">
        <v>195</v>
      </c>
      <c r="CQ51" s="220"/>
      <c r="CR51" s="204">
        <v>0</v>
      </c>
      <c r="CS51" s="204">
        <v>100.89</v>
      </c>
      <c r="CT51" s="204"/>
      <c r="CV51" s="93">
        <f t="shared" si="0"/>
        <v>2325981.161</v>
      </c>
      <c r="CW51" s="93"/>
      <c r="CX51" s="93">
        <f t="shared" si="1"/>
        <v>783277.8489999999</v>
      </c>
      <c r="CY51" s="93">
        <f t="shared" si="2"/>
        <v>1542703.3120000002</v>
      </c>
      <c r="CZ51" s="204"/>
    </row>
    <row r="52" spans="1:104" ht="13.5">
      <c r="A52" s="321" t="s">
        <v>434</v>
      </c>
      <c r="B52" s="93">
        <f aca="true" t="shared" si="23" ref="B52:H52">SUM(B48:B51)</f>
        <v>612041.738</v>
      </c>
      <c r="C52" s="219"/>
      <c r="D52" s="93">
        <f>SUM(D48:D51)-1</f>
        <v>685683</v>
      </c>
      <c r="E52" s="219">
        <f t="shared" si="23"/>
        <v>550558</v>
      </c>
      <c r="F52" s="219">
        <f>SUM(F48:F51)+1</f>
        <v>129165</v>
      </c>
      <c r="G52" s="219">
        <f t="shared" si="23"/>
        <v>22</v>
      </c>
      <c r="H52" s="219">
        <f t="shared" si="23"/>
        <v>0</v>
      </c>
      <c r="I52" s="219">
        <f>SUM(I48:I51)</f>
        <v>5938</v>
      </c>
      <c r="J52" s="93">
        <f aca="true" t="shared" si="24" ref="J52:S52">SUM(J48:J51)</f>
        <v>627330.173</v>
      </c>
      <c r="K52" s="219">
        <f t="shared" si="24"/>
        <v>0</v>
      </c>
      <c r="L52" s="93">
        <f t="shared" si="24"/>
        <v>18831</v>
      </c>
      <c r="M52" s="219">
        <f t="shared" si="24"/>
        <v>152085.899</v>
      </c>
      <c r="N52" s="219">
        <f t="shared" si="24"/>
        <v>0</v>
      </c>
      <c r="O52" s="219">
        <f t="shared" si="24"/>
        <v>0</v>
      </c>
      <c r="P52" s="93">
        <f t="shared" si="24"/>
        <v>292900.21900000004</v>
      </c>
      <c r="Q52" s="219">
        <f>SUM(Q48:Q51)</f>
        <v>191.183</v>
      </c>
      <c r="R52" s="93">
        <f t="shared" si="24"/>
        <v>21369.957000000002</v>
      </c>
      <c r="S52" s="219">
        <f t="shared" si="24"/>
        <v>0</v>
      </c>
      <c r="T52" s="93">
        <f>SUM(T49:T51)</f>
        <v>1066.261</v>
      </c>
      <c r="U52" s="219">
        <f>SUM(U48:U51)</f>
        <v>303.585</v>
      </c>
      <c r="V52" s="93">
        <f aca="true" t="shared" si="25" ref="V52:CD52">SUM(V48:V51)</f>
        <v>0</v>
      </c>
      <c r="W52" s="219">
        <f>SUM(W48:W51)</f>
        <v>0</v>
      </c>
      <c r="X52" s="219">
        <f>SUM(X48:X51)</f>
        <v>0</v>
      </c>
      <c r="Y52" s="93">
        <f t="shared" si="25"/>
        <v>13152.107</v>
      </c>
      <c r="Z52" s="219"/>
      <c r="AA52" s="93">
        <f t="shared" si="25"/>
        <v>19645.363</v>
      </c>
      <c r="AB52" s="219"/>
      <c r="AC52" s="93">
        <f t="shared" si="25"/>
        <v>1455.538</v>
      </c>
      <c r="AD52" s="93">
        <f t="shared" si="25"/>
        <v>44881.469</v>
      </c>
      <c r="AE52" s="219"/>
      <c r="AF52" s="93">
        <f t="shared" si="25"/>
        <v>1313</v>
      </c>
      <c r="AG52" s="93">
        <f t="shared" si="25"/>
        <v>102746.961</v>
      </c>
      <c r="AH52" s="93">
        <f t="shared" si="25"/>
        <v>19390.981</v>
      </c>
      <c r="AI52" s="93">
        <f t="shared" si="25"/>
        <v>10570.358</v>
      </c>
      <c r="AJ52" s="219">
        <f t="shared" si="25"/>
        <v>0</v>
      </c>
      <c r="AK52" s="93">
        <f t="shared" si="25"/>
        <v>5471.285</v>
      </c>
      <c r="AL52" s="219">
        <f t="shared" si="25"/>
        <v>0</v>
      </c>
      <c r="AM52" s="93">
        <f t="shared" si="25"/>
        <v>4749.297</v>
      </c>
      <c r="AN52" s="219">
        <v>4487</v>
      </c>
      <c r="AO52" s="93">
        <f t="shared" si="25"/>
        <v>631.875</v>
      </c>
      <c r="AP52" s="219">
        <v>577</v>
      </c>
      <c r="AQ52" s="93">
        <f t="shared" si="25"/>
        <v>56774.039000000004</v>
      </c>
      <c r="AR52" s="93">
        <f t="shared" si="25"/>
        <v>28940.499</v>
      </c>
      <c r="AS52" s="219">
        <f>SUM(AS48:AS51)</f>
        <v>9.748</v>
      </c>
      <c r="AT52" s="93">
        <f t="shared" si="25"/>
        <v>8867.276</v>
      </c>
      <c r="AU52" s="219">
        <f>SUM(AU48:AU51)</f>
        <v>0</v>
      </c>
      <c r="AV52" s="93">
        <f t="shared" si="25"/>
        <v>12618</v>
      </c>
      <c r="AW52" s="219"/>
      <c r="AX52" s="93">
        <f t="shared" si="25"/>
        <v>51654.932</v>
      </c>
      <c r="AY52" s="93">
        <f t="shared" si="25"/>
        <v>215.726</v>
      </c>
      <c r="AZ52" s="219">
        <v>180.959</v>
      </c>
      <c r="BA52" s="93">
        <f t="shared" si="25"/>
        <v>607.379</v>
      </c>
      <c r="BB52" s="93">
        <f t="shared" si="25"/>
        <v>28398.916</v>
      </c>
      <c r="BC52" s="219">
        <f t="shared" si="25"/>
        <v>38154.103</v>
      </c>
      <c r="BD52" s="93">
        <f t="shared" si="25"/>
        <v>6529.231</v>
      </c>
      <c r="BE52" s="219"/>
      <c r="BF52" s="93">
        <f t="shared" si="25"/>
        <v>189045.78399999999</v>
      </c>
      <c r="BG52" s="219"/>
      <c r="BH52" s="93">
        <f t="shared" si="25"/>
        <v>1089.534</v>
      </c>
      <c r="BI52" s="219"/>
      <c r="BJ52" s="93">
        <f t="shared" si="25"/>
        <v>27643.397</v>
      </c>
      <c r="BK52" s="93">
        <f t="shared" si="25"/>
        <v>585.233</v>
      </c>
      <c r="BL52" s="219">
        <f>SUM(BL48:BL51)</f>
        <v>3836.721</v>
      </c>
      <c r="BM52" s="219">
        <f>SUM(BM48:BM51)</f>
        <v>70.227</v>
      </c>
      <c r="BN52" s="93">
        <f t="shared" si="25"/>
        <v>181.915</v>
      </c>
      <c r="BO52" s="93">
        <f t="shared" si="25"/>
        <v>16762.36</v>
      </c>
      <c r="BP52" s="93">
        <f t="shared" si="25"/>
        <v>0</v>
      </c>
      <c r="BQ52" s="93">
        <f t="shared" si="25"/>
        <v>233.731</v>
      </c>
      <c r="BR52" s="93">
        <f t="shared" si="25"/>
        <v>23064.335</v>
      </c>
      <c r="BS52" s="219">
        <f>SUM(BS48:BS51)</f>
        <v>20264.786</v>
      </c>
      <c r="BT52" s="219">
        <f>SUM(BT48:BT51)</f>
        <v>2799.549</v>
      </c>
      <c r="BU52" s="219">
        <f>SUM(BU48:BU51)</f>
        <v>0</v>
      </c>
      <c r="BV52" s="93">
        <f t="shared" si="25"/>
        <v>196520.808</v>
      </c>
      <c r="BW52" s="93">
        <f t="shared" si="25"/>
        <v>29384.183</v>
      </c>
      <c r="BX52" s="93">
        <f t="shared" si="25"/>
        <v>9722.697</v>
      </c>
      <c r="BY52" s="219">
        <f t="shared" si="25"/>
        <v>9374.555</v>
      </c>
      <c r="BZ52" s="93">
        <f t="shared" si="25"/>
        <v>4177.574</v>
      </c>
      <c r="CA52" s="219">
        <f>SUM(CA48:CA51)</f>
        <v>0</v>
      </c>
      <c r="CB52" s="219">
        <f>SUM(CB48:CB51)</f>
        <v>4177.574</v>
      </c>
      <c r="CC52" s="93">
        <f t="shared" si="25"/>
        <v>9623.438</v>
      </c>
      <c r="CD52" s="93">
        <f t="shared" si="25"/>
        <v>161.779</v>
      </c>
      <c r="CE52" s="219"/>
      <c r="CF52" s="93">
        <f aca="true" t="shared" si="26" ref="CF52:CS52">SUM(CF48:CF51)</f>
        <v>9075.313</v>
      </c>
      <c r="CG52" s="93">
        <f t="shared" si="26"/>
        <v>1152.521</v>
      </c>
      <c r="CH52" s="93">
        <f t="shared" si="26"/>
        <v>1401.404</v>
      </c>
      <c r="CI52" s="93">
        <f t="shared" si="26"/>
        <v>8392.939</v>
      </c>
      <c r="CJ52" s="93">
        <f>SUM(CJ48:CJ51)</f>
        <v>1497.451</v>
      </c>
      <c r="CK52" s="93">
        <f t="shared" si="26"/>
        <v>7536.127</v>
      </c>
      <c r="CL52" s="93">
        <f t="shared" si="26"/>
        <v>0</v>
      </c>
      <c r="CM52" s="93">
        <f t="shared" si="26"/>
        <v>2458.505</v>
      </c>
      <c r="CN52" s="93">
        <f t="shared" si="26"/>
        <v>1734.579</v>
      </c>
      <c r="CO52" s="93">
        <f>SUM(CO48:CO51)</f>
        <v>0</v>
      </c>
      <c r="CP52" s="93">
        <f>SUM(CP48:CP51)</f>
        <v>195</v>
      </c>
      <c r="CQ52" s="219"/>
      <c r="CR52" s="93">
        <f t="shared" si="26"/>
        <v>0</v>
      </c>
      <c r="CS52" s="93">
        <f t="shared" si="26"/>
        <v>100.89</v>
      </c>
      <c r="CT52" s="93"/>
      <c r="CV52" s="93">
        <f t="shared" si="0"/>
        <v>3219578.0770000005</v>
      </c>
      <c r="CW52" s="93"/>
      <c r="CX52" s="93">
        <f t="shared" si="1"/>
        <v>842826.8119999999</v>
      </c>
      <c r="CY52" s="93">
        <f t="shared" si="2"/>
        <v>2376751.2649999997</v>
      </c>
      <c r="CZ52" s="93"/>
    </row>
    <row r="53" spans="1:103" ht="6" customHeight="1">
      <c r="A53" s="322"/>
      <c r="CV53" s="93"/>
      <c r="CW53" s="93"/>
      <c r="CX53" s="93"/>
      <c r="CY53" s="93"/>
    </row>
    <row r="54" spans="1:104" ht="12.75">
      <c r="A54" s="318" t="s">
        <v>435</v>
      </c>
      <c r="B54" s="93">
        <v>0</v>
      </c>
      <c r="C54" s="219"/>
      <c r="D54" s="93">
        <v>0</v>
      </c>
      <c r="E54" s="219">
        <v>0</v>
      </c>
      <c r="F54" s="219">
        <v>0</v>
      </c>
      <c r="G54" s="219">
        <v>0</v>
      </c>
      <c r="H54" s="219">
        <v>0</v>
      </c>
      <c r="I54" s="219">
        <v>0</v>
      </c>
      <c r="J54" s="93">
        <v>0</v>
      </c>
      <c r="K54" s="219">
        <v>0</v>
      </c>
      <c r="L54" s="93">
        <v>8805</v>
      </c>
      <c r="M54" s="219">
        <v>8804.973</v>
      </c>
      <c r="N54" s="219">
        <v>0</v>
      </c>
      <c r="O54" s="219">
        <v>0</v>
      </c>
      <c r="P54" s="93">
        <v>60485.261</v>
      </c>
      <c r="Q54" s="219">
        <v>0</v>
      </c>
      <c r="R54" s="93">
        <v>0</v>
      </c>
      <c r="S54" s="219">
        <v>0</v>
      </c>
      <c r="T54" s="93">
        <v>0</v>
      </c>
      <c r="U54" s="219">
        <v>0</v>
      </c>
      <c r="V54" s="93">
        <v>0</v>
      </c>
      <c r="W54" s="219">
        <v>0</v>
      </c>
      <c r="X54" s="219">
        <v>0</v>
      </c>
      <c r="Y54" s="93">
        <v>0</v>
      </c>
      <c r="Z54" s="219"/>
      <c r="AA54" s="93">
        <v>0</v>
      </c>
      <c r="AB54" s="219"/>
      <c r="AC54" s="93">
        <v>0</v>
      </c>
      <c r="AD54" s="93">
        <v>0</v>
      </c>
      <c r="AE54" s="219"/>
      <c r="AF54" s="93">
        <v>0</v>
      </c>
      <c r="AG54" s="93">
        <v>32283.291</v>
      </c>
      <c r="AH54" s="93">
        <v>0</v>
      </c>
      <c r="AI54" s="93">
        <v>0</v>
      </c>
      <c r="AJ54" s="219">
        <v>0</v>
      </c>
      <c r="AK54" s="93">
        <v>0</v>
      </c>
      <c r="AL54" s="219">
        <v>0</v>
      </c>
      <c r="AM54" s="93">
        <v>0</v>
      </c>
      <c r="AN54" s="219"/>
      <c r="AO54" s="93">
        <v>0</v>
      </c>
      <c r="AP54" s="219"/>
      <c r="AQ54" s="93">
        <v>0</v>
      </c>
      <c r="AR54" s="93">
        <v>0</v>
      </c>
      <c r="AS54" s="219">
        <v>0</v>
      </c>
      <c r="AT54" s="93">
        <v>223.488</v>
      </c>
      <c r="AU54" s="219">
        <v>0</v>
      </c>
      <c r="AV54" s="93">
        <v>0</v>
      </c>
      <c r="AW54" s="219"/>
      <c r="AX54" s="93">
        <v>0</v>
      </c>
      <c r="AY54" s="93">
        <v>0</v>
      </c>
      <c r="AZ54" s="219"/>
      <c r="BA54" s="93">
        <v>0</v>
      </c>
      <c r="BB54" s="93">
        <v>0</v>
      </c>
      <c r="BC54" s="219">
        <v>0</v>
      </c>
      <c r="BD54" s="93">
        <v>0</v>
      </c>
      <c r="BE54" s="219"/>
      <c r="BF54" s="93">
        <v>0</v>
      </c>
      <c r="BG54" s="219"/>
      <c r="BH54" s="93">
        <v>0</v>
      </c>
      <c r="BI54" s="219"/>
      <c r="BJ54" s="93">
        <v>0</v>
      </c>
      <c r="BK54" s="93">
        <v>0</v>
      </c>
      <c r="BL54" s="219">
        <v>0</v>
      </c>
      <c r="BM54" s="219">
        <v>0</v>
      </c>
      <c r="BN54" s="93">
        <v>0</v>
      </c>
      <c r="BO54" s="93">
        <v>0</v>
      </c>
      <c r="BP54" s="93">
        <v>0</v>
      </c>
      <c r="BQ54" s="93">
        <v>0</v>
      </c>
      <c r="BR54" s="93">
        <v>0</v>
      </c>
      <c r="BS54" s="219">
        <v>0</v>
      </c>
      <c r="BT54" s="219">
        <v>0</v>
      </c>
      <c r="BU54" s="219">
        <v>0</v>
      </c>
      <c r="BV54" s="93">
        <v>0</v>
      </c>
      <c r="BW54" s="93">
        <v>0</v>
      </c>
      <c r="BX54" s="93">
        <v>0</v>
      </c>
      <c r="BY54" s="219">
        <v>0</v>
      </c>
      <c r="BZ54" s="93">
        <v>0</v>
      </c>
      <c r="CA54" s="219">
        <v>0</v>
      </c>
      <c r="CB54" s="219">
        <v>0</v>
      </c>
      <c r="CC54" s="93">
        <v>0</v>
      </c>
      <c r="CD54" s="93">
        <v>0</v>
      </c>
      <c r="CE54" s="219"/>
      <c r="CF54" s="93">
        <v>0</v>
      </c>
      <c r="CG54" s="93">
        <v>0</v>
      </c>
      <c r="CH54" s="93">
        <v>0</v>
      </c>
      <c r="CI54" s="93">
        <v>0</v>
      </c>
      <c r="CJ54" s="93">
        <v>0</v>
      </c>
      <c r="CK54" s="93">
        <v>8467.308</v>
      </c>
      <c r="CL54" s="93">
        <v>0</v>
      </c>
      <c r="CM54" s="93">
        <v>0</v>
      </c>
      <c r="CN54" s="93">
        <v>0</v>
      </c>
      <c r="CO54" s="93">
        <v>0</v>
      </c>
      <c r="CP54" s="93">
        <v>0</v>
      </c>
      <c r="CQ54" s="219"/>
      <c r="CR54" s="93">
        <v>0</v>
      </c>
      <c r="CS54" s="93">
        <v>0</v>
      </c>
      <c r="CT54" s="93"/>
      <c r="CV54" s="93">
        <f t="shared" si="0"/>
        <v>110264.348</v>
      </c>
      <c r="CW54" s="93"/>
      <c r="CX54" s="93">
        <f t="shared" si="1"/>
        <v>0</v>
      </c>
      <c r="CY54" s="93">
        <f t="shared" si="2"/>
        <v>110264.348</v>
      </c>
      <c r="CZ54" s="93"/>
    </row>
    <row r="55" spans="1:103" ht="6" customHeight="1">
      <c r="A55" s="322"/>
      <c r="CV55" s="93"/>
      <c r="CW55" s="93"/>
      <c r="CX55" s="93"/>
      <c r="CY55" s="93"/>
    </row>
    <row r="56" spans="1:104" ht="15.75" customHeight="1">
      <c r="A56" s="321" t="s">
        <v>436</v>
      </c>
      <c r="B56" s="93">
        <f aca="true" t="shared" si="27" ref="B56:H56">B45+B52+B54</f>
        <v>612041.738</v>
      </c>
      <c r="C56" s="219"/>
      <c r="D56" s="93">
        <f>D45+D52+D54+1</f>
        <v>697357</v>
      </c>
      <c r="E56" s="219">
        <f t="shared" si="27"/>
        <v>560140</v>
      </c>
      <c r="F56" s="219">
        <f t="shared" si="27"/>
        <v>131111</v>
      </c>
      <c r="G56" s="219">
        <f t="shared" si="27"/>
        <v>146</v>
      </c>
      <c r="H56" s="219">
        <f t="shared" si="27"/>
        <v>21</v>
      </c>
      <c r="I56" s="219">
        <f>I45+I52+I54</f>
        <v>5938</v>
      </c>
      <c r="J56" s="93">
        <f aca="true" t="shared" si="28" ref="J56:CD56">J45+J52+J54</f>
        <v>627330.173</v>
      </c>
      <c r="K56" s="219">
        <f t="shared" si="28"/>
        <v>0</v>
      </c>
      <c r="L56" s="93">
        <f t="shared" si="28"/>
        <v>27636</v>
      </c>
      <c r="M56" s="219">
        <f t="shared" si="28"/>
        <v>160890.872</v>
      </c>
      <c r="N56" s="219">
        <f t="shared" si="28"/>
        <v>0</v>
      </c>
      <c r="O56" s="219">
        <f t="shared" si="28"/>
        <v>0</v>
      </c>
      <c r="P56" s="93">
        <f t="shared" si="28"/>
        <v>353385.48000000004</v>
      </c>
      <c r="Q56" s="219">
        <f>Q45+Q52+Q54</f>
        <v>191.183</v>
      </c>
      <c r="R56" s="93">
        <f t="shared" si="28"/>
        <v>21369.957000000002</v>
      </c>
      <c r="S56" s="219">
        <f t="shared" si="28"/>
        <v>0</v>
      </c>
      <c r="T56" s="93">
        <f t="shared" si="28"/>
        <v>1066.261</v>
      </c>
      <c r="U56" s="219">
        <f t="shared" si="28"/>
        <v>303.585</v>
      </c>
      <c r="V56" s="93">
        <f t="shared" si="28"/>
        <v>0</v>
      </c>
      <c r="W56" s="219">
        <f>W45+W52+W54</f>
        <v>0</v>
      </c>
      <c r="X56" s="219">
        <f>X45+X52+X54</f>
        <v>0</v>
      </c>
      <c r="Y56" s="93">
        <f t="shared" si="28"/>
        <v>13152.107</v>
      </c>
      <c r="Z56" s="219"/>
      <c r="AA56" s="93">
        <f t="shared" si="28"/>
        <v>19645.363</v>
      </c>
      <c r="AB56" s="219"/>
      <c r="AC56" s="93">
        <f t="shared" si="28"/>
        <v>1455.538</v>
      </c>
      <c r="AD56" s="93">
        <f t="shared" si="28"/>
        <v>44881.469</v>
      </c>
      <c r="AE56" s="219">
        <v>0</v>
      </c>
      <c r="AF56" s="93">
        <f t="shared" si="28"/>
        <v>1313</v>
      </c>
      <c r="AG56" s="93">
        <f t="shared" si="28"/>
        <v>135030.252</v>
      </c>
      <c r="AH56" s="93">
        <f t="shared" si="28"/>
        <v>19390.981</v>
      </c>
      <c r="AI56" s="93">
        <f t="shared" si="28"/>
        <v>10570.358</v>
      </c>
      <c r="AJ56" s="219">
        <f t="shared" si="28"/>
        <v>0</v>
      </c>
      <c r="AK56" s="93">
        <f t="shared" si="28"/>
        <v>5471.285</v>
      </c>
      <c r="AL56" s="219">
        <f t="shared" si="28"/>
        <v>0</v>
      </c>
      <c r="AM56" s="93">
        <f t="shared" si="28"/>
        <v>4749.297</v>
      </c>
      <c r="AN56" s="219">
        <f t="shared" si="28"/>
        <v>4487</v>
      </c>
      <c r="AO56" s="93">
        <f t="shared" si="28"/>
        <v>631.875</v>
      </c>
      <c r="AP56" s="219">
        <f t="shared" si="28"/>
        <v>577</v>
      </c>
      <c r="AQ56" s="93">
        <f t="shared" si="28"/>
        <v>57853.438</v>
      </c>
      <c r="AR56" s="93">
        <f t="shared" si="28"/>
        <v>28940.499</v>
      </c>
      <c r="AS56" s="219">
        <f t="shared" si="28"/>
        <v>9.748</v>
      </c>
      <c r="AT56" s="93">
        <f t="shared" si="28"/>
        <v>9090.764</v>
      </c>
      <c r="AU56" s="219">
        <f t="shared" si="28"/>
        <v>0</v>
      </c>
      <c r="AV56" s="93">
        <f t="shared" si="28"/>
        <v>12618</v>
      </c>
      <c r="AW56" s="219"/>
      <c r="AX56" s="93">
        <f t="shared" si="28"/>
        <v>51654.932</v>
      </c>
      <c r="AY56" s="93">
        <f t="shared" si="28"/>
        <v>215.726</v>
      </c>
      <c r="AZ56" s="219">
        <f t="shared" si="28"/>
        <v>180.959</v>
      </c>
      <c r="BA56" s="93">
        <f t="shared" si="28"/>
        <v>607.379</v>
      </c>
      <c r="BB56" s="93">
        <f t="shared" si="28"/>
        <v>28398.916</v>
      </c>
      <c r="BC56" s="219">
        <f t="shared" si="28"/>
        <v>38154.103</v>
      </c>
      <c r="BD56" s="93">
        <f t="shared" si="28"/>
        <v>6529.231</v>
      </c>
      <c r="BE56" s="219"/>
      <c r="BF56" s="93">
        <f t="shared" si="28"/>
        <v>189045.78399999999</v>
      </c>
      <c r="BG56" s="219"/>
      <c r="BH56" s="93">
        <f t="shared" si="28"/>
        <v>1089.534</v>
      </c>
      <c r="BI56" s="219"/>
      <c r="BJ56" s="93">
        <f t="shared" si="28"/>
        <v>27643.397</v>
      </c>
      <c r="BK56" s="93">
        <f t="shared" si="28"/>
        <v>585.233</v>
      </c>
      <c r="BL56" s="219">
        <f t="shared" si="28"/>
        <v>3836.721</v>
      </c>
      <c r="BM56" s="219">
        <f t="shared" si="28"/>
        <v>70.227</v>
      </c>
      <c r="BN56" s="93">
        <f t="shared" si="28"/>
        <v>181.915</v>
      </c>
      <c r="BO56" s="93">
        <f t="shared" si="28"/>
        <v>16762.36</v>
      </c>
      <c r="BP56" s="93">
        <f t="shared" si="28"/>
        <v>0</v>
      </c>
      <c r="BQ56" s="93">
        <f t="shared" si="28"/>
        <v>233.731</v>
      </c>
      <c r="BR56" s="93">
        <f t="shared" si="28"/>
        <v>23064.335</v>
      </c>
      <c r="BS56" s="219">
        <f t="shared" si="28"/>
        <v>20264.786</v>
      </c>
      <c r="BT56" s="219">
        <f t="shared" si="28"/>
        <v>2799.549</v>
      </c>
      <c r="BU56" s="219">
        <f t="shared" si="28"/>
        <v>0</v>
      </c>
      <c r="BV56" s="93">
        <f t="shared" si="28"/>
        <v>258319.63199999998</v>
      </c>
      <c r="BW56" s="93">
        <f t="shared" si="28"/>
        <v>29384.183</v>
      </c>
      <c r="BX56" s="93">
        <f t="shared" si="28"/>
        <v>9722.697</v>
      </c>
      <c r="BY56" s="219">
        <f t="shared" si="28"/>
        <v>9374.555</v>
      </c>
      <c r="BZ56" s="93">
        <f t="shared" si="28"/>
        <v>4177.574</v>
      </c>
      <c r="CA56" s="219">
        <f t="shared" si="28"/>
        <v>0</v>
      </c>
      <c r="CB56" s="219">
        <f t="shared" si="28"/>
        <v>4177.574</v>
      </c>
      <c r="CC56" s="93">
        <f t="shared" si="28"/>
        <v>9623.438</v>
      </c>
      <c r="CD56" s="93">
        <f t="shared" si="28"/>
        <v>161.779</v>
      </c>
      <c r="CE56" s="219"/>
      <c r="CF56" s="93">
        <f aca="true" t="shared" si="29" ref="CF56:CS56">CF45+CF52+CF54</f>
        <v>9075.313</v>
      </c>
      <c r="CG56" s="93">
        <f t="shared" si="29"/>
        <v>1152.521</v>
      </c>
      <c r="CH56" s="93">
        <f t="shared" si="29"/>
        <v>1401.404</v>
      </c>
      <c r="CI56" s="93">
        <f t="shared" si="29"/>
        <v>8392.939</v>
      </c>
      <c r="CJ56" s="93">
        <f>CJ45+CJ52+CJ54</f>
        <v>1497.451</v>
      </c>
      <c r="CK56" s="93">
        <f t="shared" si="29"/>
        <v>16003.435000000001</v>
      </c>
      <c r="CL56" s="93">
        <f t="shared" si="29"/>
        <v>0</v>
      </c>
      <c r="CM56" s="93">
        <f t="shared" si="29"/>
        <v>2458.505</v>
      </c>
      <c r="CN56" s="93">
        <f t="shared" si="29"/>
        <v>1734.579</v>
      </c>
      <c r="CO56" s="93">
        <f>CO45+CO52+CO54</f>
        <v>0</v>
      </c>
      <c r="CP56" s="93">
        <f>CP45+CP52+CP54</f>
        <v>195</v>
      </c>
      <c r="CQ56" s="219"/>
      <c r="CR56" s="93">
        <f t="shared" si="29"/>
        <v>0</v>
      </c>
      <c r="CS56" s="93">
        <f t="shared" si="29"/>
        <v>100.89</v>
      </c>
      <c r="CT56" s="93"/>
      <c r="CV56" s="93">
        <f t="shared" si="0"/>
        <v>3404394.648</v>
      </c>
      <c r="CW56" s="93"/>
      <c r="CX56" s="93">
        <f t="shared" si="1"/>
        <v>855580.2109999999</v>
      </c>
      <c r="CY56" s="93">
        <f t="shared" si="2"/>
        <v>2548814.437</v>
      </c>
      <c r="CZ56" s="93"/>
    </row>
    <row r="57" spans="1:103" ht="13.5" customHeight="1">
      <c r="A57" s="318" t="s">
        <v>437</v>
      </c>
      <c r="CV57" s="93"/>
      <c r="CW57" s="93"/>
      <c r="CX57" s="93"/>
      <c r="CY57" s="93"/>
    </row>
    <row r="58" spans="1:104" ht="12.75">
      <c r="A58" s="318" t="s">
        <v>438</v>
      </c>
      <c r="B58" s="93">
        <f aca="true" t="shared" si="30" ref="B58:H58">B41-B56</f>
        <v>85686756.101</v>
      </c>
      <c r="C58" s="219">
        <v>350809.831</v>
      </c>
      <c r="D58" s="93">
        <f>D41-D56+1</f>
        <v>76087894</v>
      </c>
      <c r="E58" s="219">
        <f t="shared" si="30"/>
        <v>63079254</v>
      </c>
      <c r="F58" s="219">
        <f t="shared" si="30"/>
        <v>12477373</v>
      </c>
      <c r="G58" s="219">
        <f t="shared" si="30"/>
        <v>75739</v>
      </c>
      <c r="H58" s="219">
        <f t="shared" si="30"/>
        <v>13166</v>
      </c>
      <c r="I58" s="219">
        <f>I41-I56</f>
        <v>442362</v>
      </c>
      <c r="J58" s="93">
        <f>J41-J56</f>
        <v>48084459.601</v>
      </c>
      <c r="K58" s="219">
        <f>K41-K56</f>
        <v>40886.83500000001</v>
      </c>
      <c r="L58" s="93">
        <f>L41-L56-1</f>
        <v>42083354</v>
      </c>
      <c r="M58" s="219">
        <f>M41-M56</f>
        <v>41926041.413</v>
      </c>
      <c r="N58" s="219">
        <f>N41-N56</f>
        <v>106833.71100000001</v>
      </c>
      <c r="O58" s="219">
        <f>O41-O56</f>
        <v>50478.741</v>
      </c>
      <c r="P58" s="93">
        <f aca="true" t="shared" si="31" ref="P58:CD58">P41-P56</f>
        <v>41161795.553</v>
      </c>
      <c r="Q58" s="219">
        <f>Q41-Q56</f>
        <v>3528.884</v>
      </c>
      <c r="R58" s="93">
        <f t="shared" si="31"/>
        <v>19504233.303000003</v>
      </c>
      <c r="S58" s="219">
        <f t="shared" si="31"/>
        <v>80816.696</v>
      </c>
      <c r="T58" s="93">
        <f t="shared" si="31"/>
        <v>19242728.762</v>
      </c>
      <c r="U58" s="219">
        <f t="shared" si="31"/>
        <v>19606.055000000004</v>
      </c>
      <c r="V58" s="93">
        <f t="shared" si="31"/>
        <v>17598639.455000002</v>
      </c>
      <c r="W58" s="219">
        <f t="shared" si="31"/>
        <v>15100596.418000001</v>
      </c>
      <c r="X58" s="219">
        <f t="shared" si="31"/>
        <v>2498043.036999999</v>
      </c>
      <c r="Y58" s="93">
        <f t="shared" si="31"/>
        <v>16277232.524999999</v>
      </c>
      <c r="Z58" s="219">
        <v>64234.507</v>
      </c>
      <c r="AA58" s="93">
        <f t="shared" si="31"/>
        <v>15604177.188</v>
      </c>
      <c r="AB58" s="219">
        <v>527771.87</v>
      </c>
      <c r="AC58" s="93">
        <f t="shared" si="31"/>
        <v>13854583.112</v>
      </c>
      <c r="AD58" s="93">
        <f t="shared" si="31"/>
        <v>12238127.661999999</v>
      </c>
      <c r="AE58" s="219">
        <f t="shared" si="31"/>
        <v>4807</v>
      </c>
      <c r="AF58" s="93">
        <f t="shared" si="31"/>
        <v>11742474</v>
      </c>
      <c r="AG58" s="93">
        <f t="shared" si="31"/>
        <v>11518068.324</v>
      </c>
      <c r="AH58" s="93">
        <f t="shared" si="31"/>
        <v>11013505.986999996</v>
      </c>
      <c r="AI58" s="93">
        <f t="shared" si="31"/>
        <v>10643354.852</v>
      </c>
      <c r="AJ58" s="219">
        <f t="shared" si="31"/>
        <v>84863.449</v>
      </c>
      <c r="AK58" s="93">
        <f t="shared" si="31"/>
        <v>10045948.616</v>
      </c>
      <c r="AL58" s="219">
        <f t="shared" si="31"/>
        <v>3923.869</v>
      </c>
      <c r="AM58" s="93">
        <f t="shared" si="31"/>
        <v>8862556.575999998</v>
      </c>
      <c r="AN58" s="219">
        <f t="shared" si="31"/>
        <v>8374266</v>
      </c>
      <c r="AO58" s="93">
        <f t="shared" si="31"/>
        <v>8503536.481</v>
      </c>
      <c r="AP58" s="219">
        <f>AP41-AP56</f>
        <v>7762005</v>
      </c>
      <c r="AQ58" s="93">
        <f t="shared" si="31"/>
        <v>7504773.404</v>
      </c>
      <c r="AR58" s="93">
        <f t="shared" si="31"/>
        <v>7189223.631000001</v>
      </c>
      <c r="AS58" s="219">
        <f t="shared" si="31"/>
        <v>2421.529</v>
      </c>
      <c r="AT58" s="93">
        <f t="shared" si="31"/>
        <v>6772942.002</v>
      </c>
      <c r="AU58" s="219">
        <f>AU41-AU56</f>
        <v>2946.341</v>
      </c>
      <c r="AV58" s="93">
        <f t="shared" si="31"/>
        <v>6457411</v>
      </c>
      <c r="AW58" s="219">
        <v>6132331</v>
      </c>
      <c r="AX58" s="93">
        <f t="shared" si="31"/>
        <v>6070779.312</v>
      </c>
      <c r="AY58" s="93">
        <f t="shared" si="31"/>
        <v>5557691.871</v>
      </c>
      <c r="AZ58" s="219">
        <f t="shared" si="31"/>
        <v>4661997.5770000005</v>
      </c>
      <c r="BA58" s="93">
        <f t="shared" si="31"/>
        <v>5212573.930000001</v>
      </c>
      <c r="BB58" s="93">
        <f t="shared" si="31"/>
        <v>4023612.5909999995</v>
      </c>
      <c r="BC58" s="219">
        <f>BC41-BC56</f>
        <v>3896258.258</v>
      </c>
      <c r="BD58" s="93">
        <f t="shared" si="31"/>
        <v>3291736.781</v>
      </c>
      <c r="BE58" s="219">
        <v>916.642</v>
      </c>
      <c r="BF58" s="93">
        <f t="shared" si="31"/>
        <v>3214727.503</v>
      </c>
      <c r="BG58" s="219">
        <v>57932.545</v>
      </c>
      <c r="BH58" s="93">
        <f t="shared" si="31"/>
        <v>3100530.392</v>
      </c>
      <c r="BI58" s="219">
        <v>44545.359</v>
      </c>
      <c r="BJ58" s="93">
        <f t="shared" si="31"/>
        <v>3006691.239</v>
      </c>
      <c r="BK58" s="93">
        <f t="shared" si="31"/>
        <v>2521492.9269999997</v>
      </c>
      <c r="BL58" s="219">
        <f t="shared" si="31"/>
        <v>2289737.927</v>
      </c>
      <c r="BM58" s="219">
        <f t="shared" si="31"/>
        <v>231754.99999999997</v>
      </c>
      <c r="BN58" s="93">
        <f t="shared" si="31"/>
        <v>2370870.444</v>
      </c>
      <c r="BO58" s="93">
        <f t="shared" si="31"/>
        <v>1993433.8839999998</v>
      </c>
      <c r="BP58" s="93">
        <f t="shared" si="31"/>
        <v>1977470.5299999998</v>
      </c>
      <c r="BQ58" s="93">
        <f t="shared" si="31"/>
        <v>1875175.0809999998</v>
      </c>
      <c r="BR58" s="93">
        <f t="shared" si="31"/>
        <v>1483263.403</v>
      </c>
      <c r="BS58" s="219">
        <f t="shared" si="31"/>
        <v>1309266.571</v>
      </c>
      <c r="BT58" s="219">
        <f t="shared" si="31"/>
        <v>154429.81600000002</v>
      </c>
      <c r="BU58" s="219">
        <f>BU41-BU56</f>
        <v>19567.016</v>
      </c>
      <c r="BV58" s="93">
        <f t="shared" si="31"/>
        <v>1438769.4400000002</v>
      </c>
      <c r="BW58" s="93">
        <f t="shared" si="31"/>
        <v>1349221.5779999997</v>
      </c>
      <c r="BX58" s="93">
        <f t="shared" si="31"/>
        <v>1310949.2810000002</v>
      </c>
      <c r="BY58" s="219">
        <f>BY41-BY56</f>
        <v>1231509.96</v>
      </c>
      <c r="BZ58" s="93">
        <f t="shared" si="31"/>
        <v>1251769.76</v>
      </c>
      <c r="CA58" s="219">
        <f t="shared" si="31"/>
        <v>102430.03400000001</v>
      </c>
      <c r="CB58" s="219">
        <f t="shared" si="31"/>
        <v>1149339.726</v>
      </c>
      <c r="CC58" s="93">
        <f t="shared" si="31"/>
        <v>1185731.7540000002</v>
      </c>
      <c r="CD58" s="93">
        <f t="shared" si="31"/>
        <v>1068011.868</v>
      </c>
      <c r="CE58" s="219">
        <v>1043650.477</v>
      </c>
      <c r="CF58" s="93">
        <f aca="true" t="shared" si="32" ref="CF58:CS58">CF41-CF56</f>
        <v>1057372.815</v>
      </c>
      <c r="CG58" s="93">
        <f t="shared" si="32"/>
        <v>766054.3920000001</v>
      </c>
      <c r="CH58" s="93">
        <f t="shared" si="32"/>
        <v>637155.9360000001</v>
      </c>
      <c r="CI58" s="93">
        <f t="shared" si="32"/>
        <v>581733.557</v>
      </c>
      <c r="CJ58" s="93">
        <f>CJ41-CJ56</f>
        <v>467591.85500000004</v>
      </c>
      <c r="CK58" s="93">
        <f t="shared" si="32"/>
        <v>447038.21</v>
      </c>
      <c r="CL58" s="93">
        <f t="shared" si="32"/>
        <v>417759.473</v>
      </c>
      <c r="CM58" s="93">
        <f t="shared" si="32"/>
        <v>287199.532</v>
      </c>
      <c r="CN58" s="93">
        <f t="shared" si="32"/>
        <v>165173.83800000002</v>
      </c>
      <c r="CO58" s="93">
        <f>CO41-CO56</f>
        <v>109293.43900000001</v>
      </c>
      <c r="CP58" s="93">
        <f>CP41-CP56</f>
        <v>84170.347</v>
      </c>
      <c r="CQ58" s="219">
        <v>67110.369</v>
      </c>
      <c r="CR58" s="93">
        <f t="shared" si="32"/>
        <v>76119.492</v>
      </c>
      <c r="CS58" s="93">
        <f t="shared" si="32"/>
        <v>8910.2</v>
      </c>
      <c r="CT58" s="93"/>
      <c r="CU58" s="93"/>
      <c r="CV58" s="93">
        <f t="shared" si="0"/>
        <v>566087852.79</v>
      </c>
      <c r="CW58" s="93"/>
      <c r="CX58" s="93">
        <f t="shared" si="1"/>
        <v>95983289.19100001</v>
      </c>
      <c r="CY58" s="93">
        <f t="shared" si="2"/>
        <v>470104563.5989998</v>
      </c>
      <c r="CZ58" s="93"/>
    </row>
    <row r="59" spans="1:103" ht="12" customHeight="1">
      <c r="A59" s="211"/>
      <c r="B59" s="211"/>
      <c r="D59" s="211"/>
      <c r="J59" s="211"/>
      <c r="L59" s="211"/>
      <c r="P59" s="211"/>
      <c r="R59" s="211"/>
      <c r="CV59" s="93"/>
      <c r="CX59" s="93"/>
      <c r="CY59" s="93"/>
    </row>
    <row r="60" spans="1:220" ht="12">
      <c r="A60" s="222"/>
      <c r="B60" s="222"/>
      <c r="J60" s="222"/>
      <c r="L60" s="222"/>
      <c r="P60" s="222"/>
      <c r="R60" s="222"/>
      <c r="T60" s="222"/>
      <c r="V60" s="222"/>
      <c r="Y60" s="222"/>
      <c r="AA60" s="222"/>
      <c r="AC60" s="222"/>
      <c r="AD60" s="222"/>
      <c r="AF60" s="222"/>
      <c r="AG60" s="222"/>
      <c r="AH60" s="222"/>
      <c r="AI60" s="222"/>
      <c r="AK60" s="222"/>
      <c r="AM60" s="222"/>
      <c r="AO60" s="222"/>
      <c r="AQ60" s="222"/>
      <c r="AR60" s="222"/>
      <c r="AT60" s="222"/>
      <c r="AV60" s="222"/>
      <c r="AX60" s="222"/>
      <c r="AY60" s="222"/>
      <c r="BA60" s="222"/>
      <c r="BB60" s="222"/>
      <c r="BD60" s="222"/>
      <c r="BF60" s="222"/>
      <c r="BH60" s="222"/>
      <c r="BJ60" s="222"/>
      <c r="BK60" s="222"/>
      <c r="BN60" s="222"/>
      <c r="BO60" s="222"/>
      <c r="BP60" s="222"/>
      <c r="BQ60" s="222"/>
      <c r="BR60" s="222"/>
      <c r="BV60" s="222"/>
      <c r="BW60" s="222"/>
      <c r="BX60" s="222"/>
      <c r="BZ60" s="222"/>
      <c r="CC60" s="222"/>
      <c r="CD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R60" s="222"/>
      <c r="CS60" s="222"/>
      <c r="CT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2"/>
      <c r="DT60" s="222"/>
      <c r="DU60" s="222"/>
      <c r="DV60" s="222"/>
      <c r="DW60" s="222"/>
      <c r="DX60" s="222"/>
      <c r="DY60" s="222"/>
      <c r="DZ60" s="222"/>
      <c r="EA60" s="222"/>
      <c r="EB60" s="222"/>
      <c r="EC60" s="222"/>
      <c r="ED60" s="222"/>
      <c r="EE60" s="222"/>
      <c r="EF60" s="222"/>
      <c r="EG60" s="222"/>
      <c r="EH60" s="222"/>
      <c r="EI60" s="222"/>
      <c r="EJ60" s="222"/>
      <c r="EK60" s="222"/>
      <c r="EL60" s="222"/>
      <c r="EM60" s="222"/>
      <c r="EN60" s="222"/>
      <c r="EO60" s="222"/>
      <c r="EP60" s="222"/>
      <c r="EQ60" s="222"/>
      <c r="ER60" s="222"/>
      <c r="ES60" s="222"/>
      <c r="ET60" s="222"/>
      <c r="EU60" s="222"/>
      <c r="EV60" s="222"/>
      <c r="EW60" s="222"/>
      <c r="EX60" s="222"/>
      <c r="EY60" s="222"/>
      <c r="EZ60" s="222"/>
      <c r="FA60" s="222"/>
      <c r="FB60" s="222"/>
      <c r="FC60" s="222"/>
      <c r="FD60" s="222"/>
      <c r="FE60" s="222"/>
      <c r="FF60" s="222"/>
      <c r="FG60" s="222"/>
      <c r="FH60" s="222"/>
      <c r="FI60" s="222"/>
      <c r="FJ60" s="222"/>
      <c r="FK60" s="222"/>
      <c r="FL60" s="222"/>
      <c r="FM60" s="222"/>
      <c r="FN60" s="222"/>
      <c r="FO60" s="222"/>
      <c r="FP60" s="222"/>
      <c r="FQ60" s="222"/>
      <c r="FR60" s="222"/>
      <c r="FS60" s="222"/>
      <c r="FT60" s="222"/>
      <c r="FU60" s="222"/>
      <c r="FV60" s="222"/>
      <c r="FW60" s="222"/>
      <c r="FX60" s="222"/>
      <c r="FY60" s="222"/>
      <c r="FZ60" s="222"/>
      <c r="GA60" s="222"/>
      <c r="GB60" s="222"/>
      <c r="GC60" s="222"/>
      <c r="GD60" s="222"/>
      <c r="GE60" s="222"/>
      <c r="GF60" s="222"/>
      <c r="GG60" s="222"/>
      <c r="GH60" s="222"/>
      <c r="GI60" s="222"/>
      <c r="GJ60" s="222"/>
      <c r="GK60" s="222"/>
      <c r="GL60" s="222"/>
      <c r="GM60" s="222"/>
      <c r="GN60" s="222"/>
      <c r="GO60" s="222"/>
      <c r="GP60" s="222"/>
      <c r="GQ60" s="222"/>
      <c r="GR60" s="222"/>
      <c r="GS60" s="222"/>
      <c r="GT60" s="222"/>
      <c r="GU60" s="222"/>
      <c r="GV60" s="222"/>
      <c r="GW60" s="222"/>
      <c r="GX60" s="222"/>
      <c r="GY60" s="222"/>
      <c r="GZ60" s="222"/>
      <c r="HA60" s="222"/>
      <c r="HB60" s="222"/>
      <c r="HC60" s="222"/>
      <c r="HD60" s="222"/>
      <c r="HE60" s="222"/>
      <c r="HF60" s="222"/>
      <c r="HG60" s="222"/>
      <c r="HH60" s="222"/>
      <c r="HI60" s="222"/>
      <c r="HJ60" s="222"/>
      <c r="HK60" s="222"/>
      <c r="HL60" s="222"/>
    </row>
    <row r="61" spans="1:220" ht="12.75">
      <c r="A61" s="222"/>
      <c r="B61" s="222"/>
      <c r="J61" s="222"/>
      <c r="L61" s="222"/>
      <c r="P61" s="222"/>
      <c r="R61" s="222"/>
      <c r="T61" s="222"/>
      <c r="V61" s="222"/>
      <c r="Y61" s="222"/>
      <c r="AA61" s="222"/>
      <c r="AC61" s="222"/>
      <c r="AD61" s="222"/>
      <c r="AF61" s="222"/>
      <c r="AG61" s="222"/>
      <c r="AH61" s="222"/>
      <c r="AI61" s="222"/>
      <c r="AK61" s="222"/>
      <c r="AM61" s="222"/>
      <c r="AO61" s="222"/>
      <c r="AQ61" s="222"/>
      <c r="AR61" s="222"/>
      <c r="AT61" s="222"/>
      <c r="AV61" s="222"/>
      <c r="AX61" s="222"/>
      <c r="AY61" s="222"/>
      <c r="BA61" s="222"/>
      <c r="BB61" s="222"/>
      <c r="BD61" s="222"/>
      <c r="BF61" s="222"/>
      <c r="BH61" s="222"/>
      <c r="BJ61" s="222"/>
      <c r="BK61" s="222"/>
      <c r="BN61" s="222"/>
      <c r="BO61" s="222"/>
      <c r="BP61" s="222"/>
      <c r="BQ61" s="222"/>
      <c r="BR61" s="222"/>
      <c r="BV61" s="222"/>
      <c r="BW61" s="222"/>
      <c r="BX61" s="222"/>
      <c r="BZ61" s="222"/>
      <c r="CC61" s="222"/>
      <c r="CD61" s="222"/>
      <c r="CF61" s="222"/>
      <c r="CG61" s="222"/>
      <c r="CH61" s="223"/>
      <c r="CI61" s="222"/>
      <c r="CJ61" s="222"/>
      <c r="CK61" s="222"/>
      <c r="CL61" s="222"/>
      <c r="CM61" s="222"/>
      <c r="CN61" s="222"/>
      <c r="CO61" s="222"/>
      <c r="CP61" s="222"/>
      <c r="CR61" s="222"/>
      <c r="CS61" s="222"/>
      <c r="CT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  <c r="HC61" s="222"/>
      <c r="HD61" s="222"/>
      <c r="HE61" s="222"/>
      <c r="HF61" s="222"/>
      <c r="HG61" s="222"/>
      <c r="HH61" s="222"/>
      <c r="HI61" s="222"/>
      <c r="HJ61" s="222"/>
      <c r="HK61" s="222"/>
      <c r="HL61" s="222"/>
    </row>
    <row r="62" spans="1:220" ht="12.75">
      <c r="A62" s="222"/>
      <c r="B62" s="222"/>
      <c r="J62" s="222"/>
      <c r="L62" s="222"/>
      <c r="P62" s="222"/>
      <c r="R62" s="222"/>
      <c r="T62" s="222"/>
      <c r="V62" s="222"/>
      <c r="Y62" s="222"/>
      <c r="AA62" s="222"/>
      <c r="AC62" s="222"/>
      <c r="AD62" s="222"/>
      <c r="AF62" s="222"/>
      <c r="AG62" s="222"/>
      <c r="AH62" s="222"/>
      <c r="AI62" s="222"/>
      <c r="AK62" s="222"/>
      <c r="AM62" s="222"/>
      <c r="AO62" s="222"/>
      <c r="AQ62" s="222"/>
      <c r="AR62" s="222"/>
      <c r="AT62" s="222"/>
      <c r="AV62" s="222"/>
      <c r="AX62" s="222"/>
      <c r="AY62" s="222"/>
      <c r="BA62" s="222"/>
      <c r="BB62" s="222"/>
      <c r="BD62" s="222"/>
      <c r="BF62" s="222"/>
      <c r="BH62" s="222"/>
      <c r="BJ62" s="222"/>
      <c r="BK62" s="222"/>
      <c r="BN62" s="222"/>
      <c r="BO62" s="222"/>
      <c r="BP62" s="222"/>
      <c r="BQ62" s="222"/>
      <c r="BR62" s="222"/>
      <c r="BV62" s="222"/>
      <c r="BW62" s="222"/>
      <c r="BX62" s="222"/>
      <c r="BZ62" s="222"/>
      <c r="CC62" s="222"/>
      <c r="CD62" s="222"/>
      <c r="CF62" s="222"/>
      <c r="CG62" s="222"/>
      <c r="CH62" s="223"/>
      <c r="CI62" s="222"/>
      <c r="CJ62" s="222"/>
      <c r="CK62" s="222"/>
      <c r="CL62" s="222"/>
      <c r="CM62" s="222"/>
      <c r="CN62" s="222"/>
      <c r="CO62" s="222"/>
      <c r="CP62" s="222"/>
      <c r="CR62" s="222"/>
      <c r="CS62" s="222"/>
      <c r="CT62" s="222"/>
      <c r="CV62" s="222"/>
      <c r="CW62" s="222"/>
      <c r="CX62" s="222"/>
      <c r="CY62" s="222"/>
      <c r="CZ62" s="222"/>
      <c r="DA62" s="222"/>
      <c r="DB62" s="222"/>
      <c r="DC62" s="222"/>
      <c r="DD62" s="222"/>
      <c r="DE62" s="222"/>
      <c r="DF62" s="222"/>
      <c r="DG62" s="222"/>
      <c r="DH62" s="222"/>
      <c r="DI62" s="222"/>
      <c r="DJ62" s="222"/>
      <c r="DK62" s="222"/>
      <c r="DL62" s="222"/>
      <c r="DM62" s="222"/>
      <c r="DN62" s="222"/>
      <c r="DO62" s="222"/>
      <c r="DP62" s="222"/>
      <c r="DQ62" s="222"/>
      <c r="DR62" s="222"/>
      <c r="DS62" s="222"/>
      <c r="DT62" s="222"/>
      <c r="DU62" s="222"/>
      <c r="DV62" s="222"/>
      <c r="DW62" s="222"/>
      <c r="DX62" s="222"/>
      <c r="DY62" s="222"/>
      <c r="DZ62" s="222"/>
      <c r="EA62" s="222"/>
      <c r="EB62" s="222"/>
      <c r="EC62" s="222"/>
      <c r="ED62" s="222"/>
      <c r="EE62" s="222"/>
      <c r="EF62" s="222"/>
      <c r="EG62" s="222"/>
      <c r="EH62" s="222"/>
      <c r="EI62" s="222"/>
      <c r="EJ62" s="222"/>
      <c r="EK62" s="222"/>
      <c r="EL62" s="222"/>
      <c r="EM62" s="222"/>
      <c r="EN62" s="222"/>
      <c r="EO62" s="222"/>
      <c r="EP62" s="222"/>
      <c r="EQ62" s="222"/>
      <c r="ER62" s="222"/>
      <c r="ES62" s="222"/>
      <c r="ET62" s="222"/>
      <c r="EU62" s="222"/>
      <c r="EV62" s="222"/>
      <c r="EW62" s="222"/>
      <c r="EX62" s="222"/>
      <c r="EY62" s="222"/>
      <c r="EZ62" s="222"/>
      <c r="FA62" s="222"/>
      <c r="FB62" s="222"/>
      <c r="FC62" s="222"/>
      <c r="FD62" s="222"/>
      <c r="FE62" s="222"/>
      <c r="FF62" s="222"/>
      <c r="FG62" s="222"/>
      <c r="FH62" s="222"/>
      <c r="FI62" s="222"/>
      <c r="FJ62" s="222"/>
      <c r="FK62" s="222"/>
      <c r="FL62" s="222"/>
      <c r="FM62" s="222"/>
      <c r="FN62" s="222"/>
      <c r="FO62" s="222"/>
      <c r="FP62" s="222"/>
      <c r="FQ62" s="222"/>
      <c r="FR62" s="222"/>
      <c r="FS62" s="222"/>
      <c r="FT62" s="222"/>
      <c r="FU62" s="222"/>
      <c r="FV62" s="222"/>
      <c r="FW62" s="222"/>
      <c r="FX62" s="222"/>
      <c r="FY62" s="222"/>
      <c r="FZ62" s="222"/>
      <c r="GA62" s="222"/>
      <c r="GB62" s="222"/>
      <c r="GC62" s="222"/>
      <c r="GD62" s="222"/>
      <c r="GE62" s="222"/>
      <c r="GF62" s="222"/>
      <c r="GG62" s="222"/>
      <c r="GH62" s="222"/>
      <c r="GI62" s="222"/>
      <c r="GJ62" s="222"/>
      <c r="GK62" s="222"/>
      <c r="GL62" s="222"/>
      <c r="GM62" s="222"/>
      <c r="GN62" s="222"/>
      <c r="GO62" s="222"/>
      <c r="GP62" s="222"/>
      <c r="GQ62" s="222"/>
      <c r="GR62" s="222"/>
      <c r="GS62" s="222"/>
      <c r="GT62" s="222"/>
      <c r="GU62" s="222"/>
      <c r="GV62" s="222"/>
      <c r="GW62" s="222"/>
      <c r="GX62" s="222"/>
      <c r="GY62" s="222"/>
      <c r="GZ62" s="222"/>
      <c r="HA62" s="222"/>
      <c r="HB62" s="222"/>
      <c r="HC62" s="222"/>
      <c r="HD62" s="222"/>
      <c r="HE62" s="222"/>
      <c r="HF62" s="222"/>
      <c r="HG62" s="222"/>
      <c r="HH62" s="222"/>
      <c r="HI62" s="222"/>
      <c r="HJ62" s="222"/>
      <c r="HK62" s="222"/>
      <c r="HL62" s="222"/>
    </row>
    <row r="63" spans="1:220" ht="12.75">
      <c r="A63" s="222"/>
      <c r="B63" s="222"/>
      <c r="D63" s="222"/>
      <c r="J63" s="222"/>
      <c r="L63" s="222"/>
      <c r="P63" s="222"/>
      <c r="R63" s="222"/>
      <c r="T63" s="222"/>
      <c r="V63" s="222"/>
      <c r="Y63" s="222"/>
      <c r="AA63" s="222"/>
      <c r="AC63" s="222"/>
      <c r="AD63" s="222"/>
      <c r="AF63" s="222"/>
      <c r="AG63" s="222"/>
      <c r="AH63" s="222"/>
      <c r="AI63" s="222"/>
      <c r="AK63" s="222"/>
      <c r="AM63" s="222"/>
      <c r="AO63" s="222"/>
      <c r="AQ63" s="222"/>
      <c r="AR63" s="222"/>
      <c r="AT63" s="222"/>
      <c r="AV63" s="222"/>
      <c r="AX63" s="222"/>
      <c r="AY63" s="222"/>
      <c r="BA63" s="222"/>
      <c r="BB63" s="222"/>
      <c r="BD63" s="222"/>
      <c r="BF63" s="222"/>
      <c r="BH63" s="222"/>
      <c r="BJ63" s="222"/>
      <c r="BK63" s="222"/>
      <c r="BN63" s="222"/>
      <c r="BO63" s="222"/>
      <c r="BP63" s="222"/>
      <c r="BQ63" s="222"/>
      <c r="BR63" s="222"/>
      <c r="BV63" s="222"/>
      <c r="BW63" s="222"/>
      <c r="BX63" s="222"/>
      <c r="BZ63" s="222"/>
      <c r="CC63" s="222"/>
      <c r="CD63" s="222"/>
      <c r="CF63" s="222"/>
      <c r="CG63" s="222"/>
      <c r="CH63" s="223"/>
      <c r="CI63" s="222"/>
      <c r="CJ63" s="222"/>
      <c r="CK63" s="222"/>
      <c r="CL63" s="222"/>
      <c r="CM63" s="222"/>
      <c r="CN63" s="222"/>
      <c r="CO63" s="222"/>
      <c r="CP63" s="222"/>
      <c r="CR63" s="222"/>
      <c r="CS63" s="222"/>
      <c r="CT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2"/>
      <c r="EL63" s="222"/>
      <c r="EM63" s="222"/>
      <c r="EN63" s="222"/>
      <c r="EO63" s="222"/>
      <c r="EP63" s="222"/>
      <c r="EQ63" s="222"/>
      <c r="ER63" s="222"/>
      <c r="ES63" s="222"/>
      <c r="ET63" s="222"/>
      <c r="EU63" s="222"/>
      <c r="EV63" s="222"/>
      <c r="EW63" s="222"/>
      <c r="EX63" s="222"/>
      <c r="EY63" s="222"/>
      <c r="EZ63" s="222"/>
      <c r="FA63" s="222"/>
      <c r="FB63" s="222"/>
      <c r="FC63" s="222"/>
      <c r="FD63" s="222"/>
      <c r="FE63" s="222"/>
      <c r="FF63" s="222"/>
      <c r="FG63" s="222"/>
      <c r="FH63" s="222"/>
      <c r="FI63" s="222"/>
      <c r="FJ63" s="222"/>
      <c r="FK63" s="222"/>
      <c r="FL63" s="222"/>
      <c r="FM63" s="222"/>
      <c r="FN63" s="222"/>
      <c r="FO63" s="222"/>
      <c r="FP63" s="222"/>
      <c r="FQ63" s="222"/>
      <c r="FR63" s="222"/>
      <c r="FS63" s="222"/>
      <c r="FT63" s="222"/>
      <c r="FU63" s="222"/>
      <c r="FV63" s="222"/>
      <c r="FW63" s="222"/>
      <c r="FX63" s="222"/>
      <c r="FY63" s="222"/>
      <c r="FZ63" s="222"/>
      <c r="GA63" s="222"/>
      <c r="GB63" s="222"/>
      <c r="GC63" s="222"/>
      <c r="GD63" s="222"/>
      <c r="GE63" s="222"/>
      <c r="GF63" s="222"/>
      <c r="GG63" s="222"/>
      <c r="GH63" s="222"/>
      <c r="GI63" s="222"/>
      <c r="GJ63" s="222"/>
      <c r="GK63" s="222"/>
      <c r="GL63" s="222"/>
      <c r="GM63" s="222"/>
      <c r="GN63" s="222"/>
      <c r="GO63" s="222"/>
      <c r="GP63" s="222"/>
      <c r="GQ63" s="222"/>
      <c r="GR63" s="222"/>
      <c r="GS63" s="222"/>
      <c r="GT63" s="222"/>
      <c r="GU63" s="222"/>
      <c r="GV63" s="222"/>
      <c r="GW63" s="222"/>
      <c r="GX63" s="222"/>
      <c r="GY63" s="222"/>
      <c r="GZ63" s="222"/>
      <c r="HA63" s="222"/>
      <c r="HB63" s="222"/>
      <c r="HC63" s="222"/>
      <c r="HD63" s="222"/>
      <c r="HE63" s="222"/>
      <c r="HF63" s="222"/>
      <c r="HG63" s="222"/>
      <c r="HH63" s="222"/>
      <c r="HI63" s="222"/>
      <c r="HJ63" s="222"/>
      <c r="HK63" s="222"/>
      <c r="HL63" s="222"/>
    </row>
    <row r="64" spans="1:220" ht="12.75">
      <c r="A64" s="222"/>
      <c r="B64" s="222"/>
      <c r="D64" s="222"/>
      <c r="J64" s="222"/>
      <c r="L64" s="222"/>
      <c r="P64" s="222"/>
      <c r="R64" s="222"/>
      <c r="T64" s="222"/>
      <c r="V64" s="222"/>
      <c r="Y64" s="222"/>
      <c r="AA64" s="222"/>
      <c r="AC64" s="222"/>
      <c r="AD64" s="222"/>
      <c r="AF64" s="222"/>
      <c r="AG64" s="222"/>
      <c r="AH64" s="222"/>
      <c r="AI64" s="222"/>
      <c r="AK64" s="222"/>
      <c r="AM64" s="222"/>
      <c r="AO64" s="222"/>
      <c r="AQ64" s="222"/>
      <c r="AR64" s="222"/>
      <c r="AT64" s="222"/>
      <c r="AV64" s="222"/>
      <c r="AX64" s="222"/>
      <c r="AY64" s="222"/>
      <c r="BA64" s="222"/>
      <c r="BB64" s="222"/>
      <c r="BD64" s="222"/>
      <c r="BF64" s="222"/>
      <c r="BH64" s="222"/>
      <c r="BJ64" s="222"/>
      <c r="BK64" s="222"/>
      <c r="BN64" s="222"/>
      <c r="BO64" s="222"/>
      <c r="BP64" s="222"/>
      <c r="BQ64" s="222"/>
      <c r="BR64" s="222"/>
      <c r="BV64" s="222"/>
      <c r="BW64" s="222"/>
      <c r="BX64" s="222"/>
      <c r="BZ64" s="222"/>
      <c r="CC64" s="222"/>
      <c r="CD64" s="222"/>
      <c r="CF64" s="222"/>
      <c r="CG64" s="222"/>
      <c r="CH64" s="223"/>
      <c r="CI64" s="222"/>
      <c r="CJ64" s="222"/>
      <c r="CK64" s="222"/>
      <c r="CL64" s="222"/>
      <c r="CM64" s="222"/>
      <c r="CN64" s="222"/>
      <c r="CO64" s="222"/>
      <c r="CP64" s="222"/>
      <c r="CR64" s="222"/>
      <c r="CS64" s="222"/>
      <c r="CT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  <c r="DV64" s="222"/>
      <c r="DW64" s="222"/>
      <c r="DX64" s="222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2"/>
      <c r="EL64" s="222"/>
      <c r="EM64" s="222"/>
      <c r="EN64" s="222"/>
      <c r="EO64" s="222"/>
      <c r="EP64" s="222"/>
      <c r="EQ64" s="222"/>
      <c r="ER64" s="222"/>
      <c r="ES64" s="222"/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2"/>
      <c r="FF64" s="222"/>
      <c r="FG64" s="222"/>
      <c r="FH64" s="222"/>
      <c r="FI64" s="222"/>
      <c r="FJ64" s="222"/>
      <c r="FK64" s="222"/>
      <c r="FL64" s="222"/>
      <c r="FM64" s="222"/>
      <c r="FN64" s="222"/>
      <c r="FO64" s="222"/>
      <c r="FP64" s="222"/>
      <c r="FQ64" s="222"/>
      <c r="FR64" s="222"/>
      <c r="FS64" s="222"/>
      <c r="FT64" s="222"/>
      <c r="FU64" s="222"/>
      <c r="FV64" s="222"/>
      <c r="FW64" s="222"/>
      <c r="FX64" s="222"/>
      <c r="FY64" s="222"/>
      <c r="FZ64" s="222"/>
      <c r="GA64" s="222"/>
      <c r="GB64" s="222"/>
      <c r="GC64" s="222"/>
      <c r="GD64" s="222"/>
      <c r="GE64" s="222"/>
      <c r="GF64" s="222"/>
      <c r="GG64" s="222"/>
      <c r="GH64" s="222"/>
      <c r="GI64" s="222"/>
      <c r="GJ64" s="222"/>
      <c r="GK64" s="222"/>
      <c r="GL64" s="222"/>
      <c r="GM64" s="222"/>
      <c r="GN64" s="222"/>
      <c r="GO64" s="222"/>
      <c r="GP64" s="222"/>
      <c r="GQ64" s="222"/>
      <c r="GR64" s="222"/>
      <c r="GS64" s="222"/>
      <c r="GT64" s="222"/>
      <c r="GU64" s="222"/>
      <c r="GV64" s="222"/>
      <c r="GW64" s="222"/>
      <c r="GX64" s="222"/>
      <c r="GY64" s="222"/>
      <c r="GZ64" s="222"/>
      <c r="HA64" s="222"/>
      <c r="HB64" s="222"/>
      <c r="HC64" s="222"/>
      <c r="HD64" s="222"/>
      <c r="HE64" s="222"/>
      <c r="HF64" s="222"/>
      <c r="HG64" s="222"/>
      <c r="HH64" s="222"/>
      <c r="HI64" s="222"/>
      <c r="HJ64" s="222"/>
      <c r="HK64" s="222"/>
      <c r="HL64" s="222"/>
    </row>
    <row r="65" spans="1:220" ht="12.75">
      <c r="A65" s="222"/>
      <c r="B65" s="222"/>
      <c r="D65" s="222"/>
      <c r="J65" s="222"/>
      <c r="L65" s="222"/>
      <c r="P65" s="222"/>
      <c r="R65" s="222"/>
      <c r="T65" s="222"/>
      <c r="V65" s="222"/>
      <c r="Y65" s="222"/>
      <c r="AA65" s="222"/>
      <c r="AC65" s="222"/>
      <c r="AD65" s="222"/>
      <c r="AF65" s="222"/>
      <c r="AG65" s="222"/>
      <c r="AH65" s="222"/>
      <c r="AI65" s="222"/>
      <c r="AK65" s="222"/>
      <c r="AM65" s="222"/>
      <c r="AO65" s="222"/>
      <c r="AQ65" s="222"/>
      <c r="AR65" s="222"/>
      <c r="AT65" s="222"/>
      <c r="AV65" s="222"/>
      <c r="AX65" s="222"/>
      <c r="AY65" s="222"/>
      <c r="BA65" s="222"/>
      <c r="BB65" s="222"/>
      <c r="BD65" s="222"/>
      <c r="BF65" s="222"/>
      <c r="BH65" s="222"/>
      <c r="BJ65" s="222"/>
      <c r="BK65" s="222"/>
      <c r="BN65" s="222"/>
      <c r="BO65" s="222"/>
      <c r="BP65" s="222"/>
      <c r="BQ65" s="222"/>
      <c r="BR65" s="222"/>
      <c r="BV65" s="222"/>
      <c r="BW65" s="222"/>
      <c r="BX65" s="222"/>
      <c r="BZ65" s="222"/>
      <c r="CC65" s="222"/>
      <c r="CD65" s="222"/>
      <c r="CF65" s="222"/>
      <c r="CG65" s="222"/>
      <c r="CH65" s="223"/>
      <c r="CI65" s="222"/>
      <c r="CJ65" s="222"/>
      <c r="CK65" s="222"/>
      <c r="CL65" s="222"/>
      <c r="CM65" s="222"/>
      <c r="CN65" s="222"/>
      <c r="CO65" s="222"/>
      <c r="CP65" s="222"/>
      <c r="CR65" s="222"/>
      <c r="CS65" s="222"/>
      <c r="CT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2"/>
      <c r="EL65" s="222"/>
      <c r="EM65" s="222"/>
      <c r="EN65" s="222"/>
      <c r="EO65" s="222"/>
      <c r="EP65" s="222"/>
      <c r="EQ65" s="222"/>
      <c r="ER65" s="222"/>
      <c r="ES65" s="222"/>
      <c r="ET65" s="222"/>
      <c r="EU65" s="222"/>
      <c r="EV65" s="222"/>
      <c r="EW65" s="222"/>
      <c r="EX65" s="222"/>
      <c r="EY65" s="222"/>
      <c r="EZ65" s="222"/>
      <c r="FA65" s="222"/>
      <c r="FB65" s="222"/>
      <c r="FC65" s="222"/>
      <c r="FD65" s="222"/>
      <c r="FE65" s="222"/>
      <c r="FF65" s="222"/>
      <c r="FG65" s="222"/>
      <c r="FH65" s="222"/>
      <c r="FI65" s="222"/>
      <c r="FJ65" s="222"/>
      <c r="FK65" s="222"/>
      <c r="FL65" s="222"/>
      <c r="FM65" s="222"/>
      <c r="FN65" s="222"/>
      <c r="FO65" s="222"/>
      <c r="FP65" s="222"/>
      <c r="FQ65" s="222"/>
      <c r="FR65" s="222"/>
      <c r="FS65" s="222"/>
      <c r="FT65" s="222"/>
      <c r="FU65" s="222"/>
      <c r="FV65" s="222"/>
      <c r="FW65" s="222"/>
      <c r="FX65" s="222"/>
      <c r="FY65" s="222"/>
      <c r="FZ65" s="222"/>
      <c r="GA65" s="222"/>
      <c r="GB65" s="222"/>
      <c r="GC65" s="222"/>
      <c r="GD65" s="222"/>
      <c r="GE65" s="222"/>
      <c r="GF65" s="222"/>
      <c r="GG65" s="222"/>
      <c r="GH65" s="222"/>
      <c r="GI65" s="222"/>
      <c r="GJ65" s="222"/>
      <c r="GK65" s="222"/>
      <c r="GL65" s="222"/>
      <c r="GM65" s="222"/>
      <c r="GN65" s="222"/>
      <c r="GO65" s="222"/>
      <c r="GP65" s="222"/>
      <c r="GQ65" s="222"/>
      <c r="GR65" s="222"/>
      <c r="GS65" s="222"/>
      <c r="GT65" s="222"/>
      <c r="GU65" s="222"/>
      <c r="GV65" s="222"/>
      <c r="GW65" s="222"/>
      <c r="GX65" s="222"/>
      <c r="GY65" s="222"/>
      <c r="GZ65" s="222"/>
      <c r="HA65" s="222"/>
      <c r="HB65" s="222"/>
      <c r="HC65" s="222"/>
      <c r="HD65" s="222"/>
      <c r="HE65" s="222"/>
      <c r="HF65" s="222"/>
      <c r="HG65" s="222"/>
      <c r="HH65" s="222"/>
      <c r="HI65" s="222"/>
      <c r="HJ65" s="222"/>
      <c r="HK65" s="222"/>
      <c r="HL65" s="222"/>
    </row>
    <row r="66" ht="12.75">
      <c r="CH66" s="223"/>
    </row>
  </sheetData>
  <printOptions/>
  <pageMargins left="0.7480314960629921" right="0.57" top="1.3385826771653544" bottom="0.5118110236220472" header="0.6692913385826772" footer="0.31496062992125984"/>
  <pageSetup firstPageNumber="12" useFirstPageNumber="1" horizontalDpi="600" verticalDpi="600" orientation="portrait" paperSize="9" r:id="rId3"/>
  <headerFooter alignWithMargins="0">
    <oddHeader>&amp;C&amp;"Times New Roman,Bold"&amp;14 3.1. BALANCE SHEETS 31.12.2000</oddHeader>
    <oddFooter>&amp;R&amp;"Times New Roman,Regular"&amp;P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DE72"/>
  <sheetViews>
    <sheetView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6" sqref="B16"/>
    </sheetView>
  </sheetViews>
  <sheetFormatPr defaultColWidth="9.00390625" defaultRowHeight="12.75"/>
  <cols>
    <col min="1" max="1" width="37.125" style="210" customWidth="1"/>
    <col min="2" max="2" width="10.25390625" style="210" customWidth="1"/>
    <col min="3" max="3" width="7.875" style="211" customWidth="1"/>
    <col min="4" max="4" width="9.50390625" style="210" bestFit="1" customWidth="1"/>
    <col min="5" max="9" width="7.875" style="211" customWidth="1"/>
    <col min="10" max="10" width="9.125" style="210" bestFit="1" customWidth="1"/>
    <col min="11" max="11" width="7.875" style="211" customWidth="1"/>
    <col min="12" max="12" width="9.25390625" style="210" bestFit="1" customWidth="1"/>
    <col min="13" max="15" width="7.875" style="211" customWidth="1"/>
    <col min="16" max="16" width="9.25390625" style="210" bestFit="1" customWidth="1"/>
    <col min="17" max="17" width="7.875" style="211" customWidth="1"/>
    <col min="18" max="18" width="9.125" style="210" bestFit="1" customWidth="1"/>
    <col min="19" max="19" width="7.875" style="211" customWidth="1"/>
    <col min="20" max="20" width="9.125" style="210" bestFit="1" customWidth="1"/>
    <col min="21" max="21" width="7.875" style="211" customWidth="1"/>
    <col min="22" max="22" width="9.125" style="210" bestFit="1" customWidth="1"/>
    <col min="23" max="24" width="7.875" style="211" customWidth="1"/>
    <col min="25" max="25" width="9.00390625" style="210" customWidth="1"/>
    <col min="26" max="26" width="7.875" style="211" customWidth="1"/>
    <col min="27" max="27" width="9.00390625" style="210" customWidth="1"/>
    <col min="28" max="28" width="7.875" style="211" customWidth="1"/>
    <col min="29" max="30" width="9.00390625" style="210" customWidth="1"/>
    <col min="31" max="31" width="7.875" style="211" customWidth="1"/>
    <col min="32" max="35" width="9.00390625" style="210" customWidth="1"/>
    <col min="36" max="36" width="7.875" style="211" customWidth="1"/>
    <col min="37" max="37" width="9.00390625" style="210" customWidth="1"/>
    <col min="38" max="38" width="7.875" style="211" customWidth="1"/>
    <col min="39" max="39" width="9.00390625" style="210" customWidth="1"/>
    <col min="40" max="40" width="7.875" style="211" customWidth="1"/>
    <col min="41" max="41" width="9.00390625" style="210" customWidth="1"/>
    <col min="42" max="42" width="7.875" style="211" customWidth="1"/>
    <col min="43" max="44" width="9.00390625" style="210" customWidth="1"/>
    <col min="45" max="45" width="7.875" style="211" customWidth="1"/>
    <col min="46" max="46" width="9.00390625" style="210" customWidth="1"/>
    <col min="47" max="47" width="7.875" style="211" customWidth="1"/>
    <col min="48" max="48" width="9.00390625" style="210" customWidth="1"/>
    <col min="49" max="49" width="7.875" style="211" customWidth="1"/>
    <col min="50" max="50" width="9.00390625" style="210" customWidth="1"/>
    <col min="51" max="51" width="9.875" style="210" customWidth="1"/>
    <col min="52" max="52" width="8.625" style="211" customWidth="1"/>
    <col min="53" max="54" width="9.00390625" style="210" customWidth="1"/>
    <col min="55" max="55" width="7.875" style="211" customWidth="1"/>
    <col min="56" max="56" width="9.00390625" style="210" customWidth="1"/>
    <col min="57" max="57" width="7.875" style="211" customWidth="1"/>
    <col min="58" max="58" width="9.00390625" style="210" customWidth="1"/>
    <col min="59" max="59" width="7.875" style="211" customWidth="1"/>
    <col min="60" max="60" width="9.00390625" style="210" customWidth="1"/>
    <col min="61" max="61" width="7.875" style="211" customWidth="1"/>
    <col min="62" max="63" width="9.00390625" style="210" customWidth="1"/>
    <col min="64" max="65" width="7.875" style="211" customWidth="1"/>
    <col min="66" max="66" width="9.875" style="210" customWidth="1"/>
    <col min="67" max="70" width="9.00390625" style="210" customWidth="1"/>
    <col min="71" max="73" width="7.875" style="211" customWidth="1"/>
    <col min="74" max="74" width="9.875" style="210" customWidth="1"/>
    <col min="75" max="75" width="9.75390625" style="210" customWidth="1"/>
    <col min="76" max="76" width="9.00390625" style="210" customWidth="1"/>
    <col min="77" max="77" width="7.875" style="211" customWidth="1"/>
    <col min="78" max="78" width="9.875" style="210" customWidth="1"/>
    <col min="79" max="80" width="7.875" style="211" customWidth="1"/>
    <col min="81" max="82" width="9.00390625" style="210" customWidth="1"/>
    <col min="83" max="83" width="7.875" style="211" customWidth="1"/>
    <col min="84" max="85" width="9.00390625" style="210" customWidth="1"/>
    <col min="86" max="86" width="9.875" style="210" customWidth="1"/>
    <col min="87" max="87" width="10.00390625" style="210" customWidth="1"/>
    <col min="88" max="88" width="10.25390625" style="210" customWidth="1"/>
    <col min="89" max="92" width="9.00390625" style="210" customWidth="1"/>
    <col min="93" max="93" width="9.375" style="210" customWidth="1"/>
    <col min="94" max="94" width="9.00390625" style="210" customWidth="1"/>
    <col min="95" max="95" width="8.25390625" style="211" customWidth="1"/>
    <col min="96" max="96" width="9.00390625" style="210" customWidth="1"/>
    <col min="97" max="97" width="10.25390625" style="210" customWidth="1"/>
    <col min="98" max="98" width="8.00390625" style="210" customWidth="1"/>
    <col min="99" max="99" width="2.50390625" style="210" customWidth="1"/>
    <col min="100" max="100" width="10.75390625" style="210" customWidth="1"/>
    <col min="101" max="101" width="2.625" style="210" customWidth="1"/>
    <col min="102" max="102" width="11.00390625" style="210" customWidth="1"/>
    <col min="103" max="103" width="10.25390625" style="210" customWidth="1"/>
    <col min="104" max="104" width="2.25390625" style="210" hidden="1" customWidth="1"/>
    <col min="105" max="105" width="1.00390625" style="210" customWidth="1"/>
    <col min="106" max="16384" width="9.00390625" style="210" customWidth="1"/>
  </cols>
  <sheetData>
    <row r="1" spans="1:104" ht="12.75" customHeight="1">
      <c r="A1" s="319" t="s">
        <v>397</v>
      </c>
      <c r="B1" s="207" t="s">
        <v>0</v>
      </c>
      <c r="C1" s="208" t="s">
        <v>0</v>
      </c>
      <c r="D1" s="207" t="s">
        <v>0</v>
      </c>
      <c r="E1" s="208" t="s">
        <v>0</v>
      </c>
      <c r="F1" s="208" t="s">
        <v>0</v>
      </c>
      <c r="G1" s="208" t="s">
        <v>0</v>
      </c>
      <c r="H1" s="208" t="s">
        <v>0</v>
      </c>
      <c r="I1" s="208" t="s">
        <v>0</v>
      </c>
      <c r="J1" s="207" t="s">
        <v>0</v>
      </c>
      <c r="K1" s="208" t="s">
        <v>0</v>
      </c>
      <c r="L1" s="207" t="s">
        <v>1</v>
      </c>
      <c r="M1" s="208" t="s">
        <v>1</v>
      </c>
      <c r="N1" s="208" t="s">
        <v>1</v>
      </c>
      <c r="O1" s="208" t="s">
        <v>1</v>
      </c>
      <c r="P1" s="207" t="s">
        <v>0</v>
      </c>
      <c r="Q1" s="208" t="s">
        <v>0</v>
      </c>
      <c r="R1" s="207" t="s">
        <v>0</v>
      </c>
      <c r="S1" s="208" t="s">
        <v>0</v>
      </c>
      <c r="T1" s="207" t="s">
        <v>2</v>
      </c>
      <c r="U1" s="208" t="s">
        <v>2</v>
      </c>
      <c r="V1" s="207" t="s">
        <v>0</v>
      </c>
      <c r="W1" s="208" t="s">
        <v>0</v>
      </c>
      <c r="X1" s="208" t="s">
        <v>0</v>
      </c>
      <c r="Y1" s="207" t="s">
        <v>0</v>
      </c>
      <c r="Z1" s="208" t="s">
        <v>0</v>
      </c>
      <c r="AA1" s="207" t="s">
        <v>3</v>
      </c>
      <c r="AB1" s="208" t="s">
        <v>3</v>
      </c>
      <c r="AC1" s="207" t="s">
        <v>0</v>
      </c>
      <c r="AD1" s="207" t="s">
        <v>0</v>
      </c>
      <c r="AE1" s="208" t="s">
        <v>0</v>
      </c>
      <c r="AF1" s="207" t="s">
        <v>0</v>
      </c>
      <c r="AG1" s="207" t="s">
        <v>0</v>
      </c>
      <c r="AH1" s="207" t="s">
        <v>0</v>
      </c>
      <c r="AI1" s="209" t="s">
        <v>0</v>
      </c>
      <c r="AJ1" s="208" t="s">
        <v>0</v>
      </c>
      <c r="AK1" s="207" t="s">
        <v>0</v>
      </c>
      <c r="AL1" s="208" t="s">
        <v>0</v>
      </c>
      <c r="AM1" s="207" t="s">
        <v>5</v>
      </c>
      <c r="AN1" s="208" t="s">
        <v>5</v>
      </c>
      <c r="AO1" s="207" t="s">
        <v>7</v>
      </c>
      <c r="AP1" s="208" t="s">
        <v>7</v>
      </c>
      <c r="AQ1" s="207" t="s">
        <v>0</v>
      </c>
      <c r="AR1" s="207" t="s">
        <v>0</v>
      </c>
      <c r="AS1" s="208" t="s">
        <v>0</v>
      </c>
      <c r="AT1" s="207" t="s">
        <v>265</v>
      </c>
      <c r="AU1" s="208" t="s">
        <v>265</v>
      </c>
      <c r="AV1" s="207" t="s">
        <v>6</v>
      </c>
      <c r="AW1" s="208" t="s">
        <v>6</v>
      </c>
      <c r="AX1" s="207" t="s">
        <v>0</v>
      </c>
      <c r="AY1" s="207" t="s">
        <v>0</v>
      </c>
      <c r="AZ1" s="208" t="s">
        <v>0</v>
      </c>
      <c r="BA1" s="207" t="s">
        <v>0</v>
      </c>
      <c r="BB1" s="207" t="s">
        <v>8</v>
      </c>
      <c r="BC1" s="208" t="s">
        <v>8</v>
      </c>
      <c r="BD1" s="207" t="s">
        <v>0</v>
      </c>
      <c r="BE1" s="208" t="s">
        <v>0</v>
      </c>
      <c r="BF1" s="207" t="s">
        <v>6</v>
      </c>
      <c r="BG1" s="208" t="s">
        <v>6</v>
      </c>
      <c r="BH1" s="207" t="s">
        <v>0</v>
      </c>
      <c r="BI1" s="208" t="s">
        <v>0</v>
      </c>
      <c r="BJ1" s="207" t="s">
        <v>0</v>
      </c>
      <c r="BK1" s="207" t="s">
        <v>0</v>
      </c>
      <c r="BL1" s="208" t="s">
        <v>0</v>
      </c>
      <c r="BM1" s="208" t="s">
        <v>0</v>
      </c>
      <c r="BN1" s="207" t="s">
        <v>4</v>
      </c>
      <c r="BO1" s="207" t="s">
        <v>0</v>
      </c>
      <c r="BP1" s="207" t="s">
        <v>0</v>
      </c>
      <c r="BQ1" s="207" t="s">
        <v>0</v>
      </c>
      <c r="BR1" s="207" t="s">
        <v>0</v>
      </c>
      <c r="BS1" s="208" t="s">
        <v>0</v>
      </c>
      <c r="BT1" s="208" t="s">
        <v>0</v>
      </c>
      <c r="BU1" s="208" t="s">
        <v>0</v>
      </c>
      <c r="BV1" s="207" t="s">
        <v>4</v>
      </c>
      <c r="BW1" s="207" t="s">
        <v>0</v>
      </c>
      <c r="BX1" s="207" t="s">
        <v>50</v>
      </c>
      <c r="BY1" s="208" t="s">
        <v>50</v>
      </c>
      <c r="BZ1" s="207" t="s">
        <v>4</v>
      </c>
      <c r="CA1" s="208" t="s">
        <v>4</v>
      </c>
      <c r="CB1" s="208" t="s">
        <v>4</v>
      </c>
      <c r="CC1" s="207" t="s">
        <v>0</v>
      </c>
      <c r="CD1" s="207" t="s">
        <v>0</v>
      </c>
      <c r="CE1" s="208" t="s">
        <v>0</v>
      </c>
      <c r="CF1" s="207" t="s">
        <v>0</v>
      </c>
      <c r="CG1" s="207" t="s">
        <v>0</v>
      </c>
      <c r="CH1" s="207" t="s">
        <v>4</v>
      </c>
      <c r="CI1" s="207" t="s">
        <v>4</v>
      </c>
      <c r="CJ1" s="207" t="s">
        <v>4</v>
      </c>
      <c r="CK1" s="207" t="s">
        <v>0</v>
      </c>
      <c r="CL1" s="207" t="s">
        <v>6</v>
      </c>
      <c r="CM1" s="207" t="s">
        <v>0</v>
      </c>
      <c r="CN1" s="207" t="s">
        <v>0</v>
      </c>
      <c r="CO1" s="207" t="s">
        <v>4</v>
      </c>
      <c r="CP1" s="207" t="s">
        <v>9</v>
      </c>
      <c r="CQ1" s="208" t="s">
        <v>9</v>
      </c>
      <c r="CR1" s="207" t="s">
        <v>0</v>
      </c>
      <c r="CS1" s="207" t="s">
        <v>0</v>
      </c>
      <c r="CT1" s="207"/>
      <c r="CV1" s="190"/>
      <c r="CW1" s="190"/>
      <c r="CX1" s="190" t="s">
        <v>567</v>
      </c>
      <c r="CY1" s="190" t="s">
        <v>568</v>
      </c>
      <c r="CZ1" s="209"/>
    </row>
    <row r="2" spans="1:104" ht="12.75">
      <c r="A2" s="319"/>
      <c r="B2" s="207" t="s">
        <v>12</v>
      </c>
      <c r="C2" s="208" t="s">
        <v>12</v>
      </c>
      <c r="D2" s="207" t="s">
        <v>339</v>
      </c>
      <c r="E2" s="208" t="s">
        <v>339</v>
      </c>
      <c r="F2" s="208" t="s">
        <v>339</v>
      </c>
      <c r="G2" s="208" t="s">
        <v>339</v>
      </c>
      <c r="H2" s="208" t="s">
        <v>339</v>
      </c>
      <c r="I2" s="208" t="s">
        <v>339</v>
      </c>
      <c r="J2" s="207" t="s">
        <v>16</v>
      </c>
      <c r="K2" s="208" t="s">
        <v>16</v>
      </c>
      <c r="L2" s="207" t="s">
        <v>15</v>
      </c>
      <c r="M2" s="208" t="s">
        <v>15</v>
      </c>
      <c r="N2" s="208" t="s">
        <v>15</v>
      </c>
      <c r="O2" s="208" t="s">
        <v>15</v>
      </c>
      <c r="P2" s="207" t="s">
        <v>13</v>
      </c>
      <c r="Q2" s="208" t="s">
        <v>13</v>
      </c>
      <c r="R2" s="207" t="s">
        <v>17</v>
      </c>
      <c r="S2" s="208" t="s">
        <v>17</v>
      </c>
      <c r="T2" s="207" t="s">
        <v>15</v>
      </c>
      <c r="U2" s="208" t="s">
        <v>15</v>
      </c>
      <c r="V2" s="207" t="s">
        <v>273</v>
      </c>
      <c r="W2" s="208" t="s">
        <v>273</v>
      </c>
      <c r="X2" s="208" t="s">
        <v>273</v>
      </c>
      <c r="Y2" s="207" t="s">
        <v>234</v>
      </c>
      <c r="Z2" s="208" t="s">
        <v>234</v>
      </c>
      <c r="AA2" s="207" t="s">
        <v>15</v>
      </c>
      <c r="AB2" s="208" t="s">
        <v>15</v>
      </c>
      <c r="AC2" s="207" t="s">
        <v>19</v>
      </c>
      <c r="AD2" s="207" t="s">
        <v>20</v>
      </c>
      <c r="AE2" s="208" t="s">
        <v>20</v>
      </c>
      <c r="AF2" s="207" t="s">
        <v>22</v>
      </c>
      <c r="AG2" s="207" t="s">
        <v>18</v>
      </c>
      <c r="AH2" s="207" t="s">
        <v>21</v>
      </c>
      <c r="AI2" s="209" t="s">
        <v>284</v>
      </c>
      <c r="AJ2" s="208" t="s">
        <v>284</v>
      </c>
      <c r="AK2" s="207" t="s">
        <v>23</v>
      </c>
      <c r="AL2" s="208" t="s">
        <v>23</v>
      </c>
      <c r="AM2" s="207" t="s">
        <v>15</v>
      </c>
      <c r="AN2" s="208" t="s">
        <v>15</v>
      </c>
      <c r="AO2" s="207" t="s">
        <v>30</v>
      </c>
      <c r="AP2" s="208" t="s">
        <v>30</v>
      </c>
      <c r="AQ2" s="207" t="s">
        <v>25</v>
      </c>
      <c r="AR2" s="207" t="s">
        <v>24</v>
      </c>
      <c r="AS2" s="208" t="s">
        <v>24</v>
      </c>
      <c r="AT2" s="207" t="s">
        <v>46</v>
      </c>
      <c r="AU2" s="208" t="s">
        <v>46</v>
      </c>
      <c r="AV2" s="207" t="s">
        <v>29</v>
      </c>
      <c r="AW2" s="208" t="s">
        <v>29</v>
      </c>
      <c r="AX2" s="207" t="s">
        <v>14</v>
      </c>
      <c r="AY2" s="207" t="s">
        <v>275</v>
      </c>
      <c r="AZ2" s="208" t="s">
        <v>275</v>
      </c>
      <c r="BA2" s="207" t="s">
        <v>71</v>
      </c>
      <c r="BB2" s="207" t="s">
        <v>15</v>
      </c>
      <c r="BC2" s="208" t="s">
        <v>15</v>
      </c>
      <c r="BD2" s="207" t="s">
        <v>26</v>
      </c>
      <c r="BE2" s="208" t="s">
        <v>26</v>
      </c>
      <c r="BF2" s="207" t="s">
        <v>29</v>
      </c>
      <c r="BG2" s="208" t="s">
        <v>29</v>
      </c>
      <c r="BH2" s="207" t="s">
        <v>27</v>
      </c>
      <c r="BI2" s="208" t="s">
        <v>27</v>
      </c>
      <c r="BJ2" s="207" t="s">
        <v>14</v>
      </c>
      <c r="BK2" s="207" t="s">
        <v>28</v>
      </c>
      <c r="BL2" s="208" t="s">
        <v>28</v>
      </c>
      <c r="BM2" s="208" t="s">
        <v>28</v>
      </c>
      <c r="BN2" s="207" t="s">
        <v>14</v>
      </c>
      <c r="BO2" s="207" t="s">
        <v>31</v>
      </c>
      <c r="BP2" s="207" t="s">
        <v>32</v>
      </c>
      <c r="BQ2" s="207" t="s">
        <v>33</v>
      </c>
      <c r="BR2" s="207" t="s">
        <v>14</v>
      </c>
      <c r="BS2" s="208" t="s">
        <v>14</v>
      </c>
      <c r="BT2" s="208" t="s">
        <v>14</v>
      </c>
      <c r="BU2" s="208" t="s">
        <v>14</v>
      </c>
      <c r="BV2" s="207" t="s">
        <v>34</v>
      </c>
      <c r="BW2" s="207" t="s">
        <v>36</v>
      </c>
      <c r="BX2" s="207" t="s">
        <v>15</v>
      </c>
      <c r="BY2" s="208" t="s">
        <v>15</v>
      </c>
      <c r="BZ2" s="207" t="s">
        <v>37</v>
      </c>
      <c r="CA2" s="208" t="s">
        <v>37</v>
      </c>
      <c r="CB2" s="208" t="s">
        <v>37</v>
      </c>
      <c r="CC2" s="207" t="s">
        <v>35</v>
      </c>
      <c r="CD2" s="207" t="s">
        <v>39</v>
      </c>
      <c r="CE2" s="208" t="s">
        <v>39</v>
      </c>
      <c r="CF2" s="207" t="s">
        <v>38</v>
      </c>
      <c r="CG2" s="207" t="s">
        <v>41</v>
      </c>
      <c r="CH2" s="207" t="s">
        <v>40</v>
      </c>
      <c r="CI2" s="207" t="s">
        <v>42</v>
      </c>
      <c r="CJ2" s="207" t="s">
        <v>260</v>
      </c>
      <c r="CK2" s="207" t="s">
        <v>14</v>
      </c>
      <c r="CL2" s="207" t="s">
        <v>29</v>
      </c>
      <c r="CM2" s="207" t="s">
        <v>43</v>
      </c>
      <c r="CN2" s="207" t="s">
        <v>45</v>
      </c>
      <c r="CO2" s="207" t="s">
        <v>44</v>
      </c>
      <c r="CP2" s="207" t="s">
        <v>46</v>
      </c>
      <c r="CQ2" s="208" t="s">
        <v>46</v>
      </c>
      <c r="CR2" s="207" t="s">
        <v>47</v>
      </c>
      <c r="CS2" s="207" t="s">
        <v>48</v>
      </c>
      <c r="CT2" s="207"/>
      <c r="CV2" s="190"/>
      <c r="CW2" s="190"/>
      <c r="CX2" s="190" t="s">
        <v>569</v>
      </c>
      <c r="CY2" s="190" t="s">
        <v>569</v>
      </c>
      <c r="CZ2" s="209"/>
    </row>
    <row r="3" spans="1:104" ht="12.75">
      <c r="A3" s="319"/>
      <c r="B3" s="207" t="s">
        <v>51</v>
      </c>
      <c r="C3" s="208" t="s">
        <v>51</v>
      </c>
      <c r="D3" s="207" t="s">
        <v>346</v>
      </c>
      <c r="E3" s="211" t="s">
        <v>137</v>
      </c>
      <c r="F3" s="211" t="s">
        <v>137</v>
      </c>
      <c r="G3" s="212" t="s">
        <v>342</v>
      </c>
      <c r="H3" s="212" t="s">
        <v>344</v>
      </c>
      <c r="I3" s="212" t="s">
        <v>370</v>
      </c>
      <c r="J3" s="207" t="s">
        <v>137</v>
      </c>
      <c r="K3" s="212" t="s">
        <v>370</v>
      </c>
      <c r="L3" s="207" t="s">
        <v>29</v>
      </c>
      <c r="M3" s="208" t="s">
        <v>29</v>
      </c>
      <c r="N3" s="208" t="s">
        <v>29</v>
      </c>
      <c r="O3" s="208" t="s">
        <v>29</v>
      </c>
      <c r="P3" s="207" t="s">
        <v>137</v>
      </c>
      <c r="Q3" s="212" t="s">
        <v>370</v>
      </c>
      <c r="R3" s="207" t="s">
        <v>53</v>
      </c>
      <c r="S3" s="208" t="s">
        <v>53</v>
      </c>
      <c r="T3" s="207" t="s">
        <v>52</v>
      </c>
      <c r="U3" s="208" t="s">
        <v>52</v>
      </c>
      <c r="V3" s="207" t="s">
        <v>66</v>
      </c>
      <c r="W3" s="208" t="s">
        <v>66</v>
      </c>
      <c r="X3" s="208" t="s">
        <v>66</v>
      </c>
      <c r="Y3" s="207" t="s">
        <v>137</v>
      </c>
      <c r="Z3" s="212" t="s">
        <v>370</v>
      </c>
      <c r="AA3" s="207" t="s">
        <v>29</v>
      </c>
      <c r="AB3" s="208" t="s">
        <v>29</v>
      </c>
      <c r="AC3" s="207" t="s">
        <v>53</v>
      </c>
      <c r="AD3" s="207" t="s">
        <v>54</v>
      </c>
      <c r="AE3" s="208" t="s">
        <v>54</v>
      </c>
      <c r="AF3" s="207" t="s">
        <v>137</v>
      </c>
      <c r="AG3" s="207" t="s">
        <v>137</v>
      </c>
      <c r="AH3" s="207" t="s">
        <v>55</v>
      </c>
      <c r="AI3" s="209" t="s">
        <v>283</v>
      </c>
      <c r="AJ3" s="208" t="s">
        <v>283</v>
      </c>
      <c r="AK3" s="207" t="s">
        <v>262</v>
      </c>
      <c r="AL3" s="208" t="s">
        <v>262</v>
      </c>
      <c r="AM3" s="207" t="s">
        <v>29</v>
      </c>
      <c r="AN3" s="208" t="s">
        <v>29</v>
      </c>
      <c r="AO3" s="207" t="s">
        <v>62</v>
      </c>
      <c r="AP3" s="208" t="s">
        <v>62</v>
      </c>
      <c r="AQ3" s="207" t="s">
        <v>193</v>
      </c>
      <c r="AR3" s="207" t="s">
        <v>53</v>
      </c>
      <c r="AS3" s="208" t="s">
        <v>53</v>
      </c>
      <c r="AT3" s="207" t="s">
        <v>266</v>
      </c>
      <c r="AU3" s="208" t="s">
        <v>266</v>
      </c>
      <c r="AV3" s="207" t="s">
        <v>77</v>
      </c>
      <c r="AW3" s="208" t="s">
        <v>77</v>
      </c>
      <c r="AX3" s="207" t="s">
        <v>285</v>
      </c>
      <c r="AY3" s="207" t="s">
        <v>276</v>
      </c>
      <c r="AZ3" s="208" t="s">
        <v>276</v>
      </c>
      <c r="BA3" s="207"/>
      <c r="BB3" s="207" t="s">
        <v>73</v>
      </c>
      <c r="BC3" s="208" t="s">
        <v>73</v>
      </c>
      <c r="BD3" s="207" t="s">
        <v>57</v>
      </c>
      <c r="BE3" s="208" t="s">
        <v>57</v>
      </c>
      <c r="BF3" s="207" t="s">
        <v>61</v>
      </c>
      <c r="BG3" s="208" t="s">
        <v>61</v>
      </c>
      <c r="BH3" s="207"/>
      <c r="BI3" s="212" t="s">
        <v>370</v>
      </c>
      <c r="BJ3" s="207" t="s">
        <v>58</v>
      </c>
      <c r="BK3" s="207" t="s">
        <v>59</v>
      </c>
      <c r="BL3" s="208" t="s">
        <v>59</v>
      </c>
      <c r="BM3" s="208" t="s">
        <v>59</v>
      </c>
      <c r="BN3" s="207" t="s">
        <v>60</v>
      </c>
      <c r="BO3" s="207" t="s">
        <v>63</v>
      </c>
      <c r="BP3" s="207" t="s">
        <v>64</v>
      </c>
      <c r="BQ3" s="207"/>
      <c r="BR3" s="207" t="s">
        <v>277</v>
      </c>
      <c r="BS3" s="208" t="s">
        <v>277</v>
      </c>
      <c r="BT3" s="208" t="s">
        <v>277</v>
      </c>
      <c r="BU3" s="208" t="s">
        <v>277</v>
      </c>
      <c r="BV3" s="207" t="s">
        <v>65</v>
      </c>
      <c r="BW3" s="207" t="s">
        <v>68</v>
      </c>
      <c r="BX3" s="207" t="s">
        <v>29</v>
      </c>
      <c r="BY3" s="208" t="s">
        <v>29</v>
      </c>
      <c r="BZ3" s="207" t="s">
        <v>280</v>
      </c>
      <c r="CA3" s="208" t="s">
        <v>280</v>
      </c>
      <c r="CB3" s="208" t="s">
        <v>280</v>
      </c>
      <c r="CC3" s="207" t="s">
        <v>67</v>
      </c>
      <c r="CD3" s="207" t="s">
        <v>56</v>
      </c>
      <c r="CE3" s="208" t="s">
        <v>56</v>
      </c>
      <c r="CF3" s="207" t="s">
        <v>70</v>
      </c>
      <c r="CG3" s="207" t="s">
        <v>69</v>
      </c>
      <c r="CH3" s="207" t="s">
        <v>71</v>
      </c>
      <c r="CI3" s="207" t="s">
        <v>72</v>
      </c>
      <c r="CJ3" s="207" t="s">
        <v>76</v>
      </c>
      <c r="CK3" s="207" t="s">
        <v>74</v>
      </c>
      <c r="CL3" s="207" t="s">
        <v>75</v>
      </c>
      <c r="CM3" s="207" t="s">
        <v>78</v>
      </c>
      <c r="CN3" s="207" t="s">
        <v>80</v>
      </c>
      <c r="CO3" s="207" t="s">
        <v>79</v>
      </c>
      <c r="CP3" s="207" t="s">
        <v>81</v>
      </c>
      <c r="CQ3" s="208" t="s">
        <v>81</v>
      </c>
      <c r="CR3" s="207" t="s">
        <v>82</v>
      </c>
      <c r="CS3" s="207" t="s">
        <v>83</v>
      </c>
      <c r="CT3" s="207"/>
      <c r="CV3" s="190" t="s">
        <v>574</v>
      </c>
      <c r="CW3" s="190"/>
      <c r="CX3" s="190" t="s">
        <v>570</v>
      </c>
      <c r="CY3" s="190" t="s">
        <v>570</v>
      </c>
      <c r="CZ3" s="209"/>
    </row>
    <row r="4" spans="1:104" ht="12.75">
      <c r="A4" s="319"/>
      <c r="B4" s="213" t="s">
        <v>85</v>
      </c>
      <c r="C4" s="214" t="s">
        <v>370</v>
      </c>
      <c r="D4" s="213" t="s">
        <v>86</v>
      </c>
      <c r="E4" s="212" t="s">
        <v>340</v>
      </c>
      <c r="F4" s="212" t="s">
        <v>341</v>
      </c>
      <c r="G4" s="212" t="s">
        <v>343</v>
      </c>
      <c r="H4" s="212" t="s">
        <v>345</v>
      </c>
      <c r="I4" s="212" t="s">
        <v>345</v>
      </c>
      <c r="J4" s="213" t="s">
        <v>87</v>
      </c>
      <c r="K4" s="212" t="s">
        <v>345</v>
      </c>
      <c r="L4" s="213" t="s">
        <v>88</v>
      </c>
      <c r="M4" s="214" t="s">
        <v>348</v>
      </c>
      <c r="N4" s="214" t="s">
        <v>372</v>
      </c>
      <c r="O4" s="214" t="s">
        <v>370</v>
      </c>
      <c r="P4" s="213" t="s">
        <v>89</v>
      </c>
      <c r="Q4" s="212" t="s">
        <v>345</v>
      </c>
      <c r="R4" s="213" t="s">
        <v>90</v>
      </c>
      <c r="S4" s="214" t="s">
        <v>370</v>
      </c>
      <c r="T4" s="213" t="s">
        <v>91</v>
      </c>
      <c r="U4" s="214" t="s">
        <v>370</v>
      </c>
      <c r="V4" s="213" t="s">
        <v>92</v>
      </c>
      <c r="W4" s="214" t="s">
        <v>312</v>
      </c>
      <c r="X4" s="214" t="s">
        <v>376</v>
      </c>
      <c r="Y4" s="213" t="s">
        <v>189</v>
      </c>
      <c r="Z4" s="212" t="s">
        <v>345</v>
      </c>
      <c r="AA4" s="213" t="s">
        <v>190</v>
      </c>
      <c r="AB4" s="212" t="s">
        <v>370</v>
      </c>
      <c r="AC4" s="213" t="s">
        <v>191</v>
      </c>
      <c r="AD4" s="213" t="s">
        <v>93</v>
      </c>
      <c r="AE4" s="214" t="s">
        <v>370</v>
      </c>
      <c r="AF4" s="213" t="s">
        <v>94</v>
      </c>
      <c r="AG4" s="213" t="s">
        <v>95</v>
      </c>
      <c r="AH4" s="213" t="s">
        <v>96</v>
      </c>
      <c r="AI4" s="213" t="s">
        <v>97</v>
      </c>
      <c r="AJ4" s="214" t="s">
        <v>370</v>
      </c>
      <c r="AK4" s="213" t="s">
        <v>98</v>
      </c>
      <c r="AL4" s="214" t="s">
        <v>370</v>
      </c>
      <c r="AM4" s="213" t="s">
        <v>99</v>
      </c>
      <c r="AN4" s="214" t="s">
        <v>370</v>
      </c>
      <c r="AO4" s="213" t="s">
        <v>100</v>
      </c>
      <c r="AP4" s="214" t="s">
        <v>370</v>
      </c>
      <c r="AQ4" s="213" t="s">
        <v>101</v>
      </c>
      <c r="AR4" s="213" t="s">
        <v>102</v>
      </c>
      <c r="AS4" s="214" t="s">
        <v>370</v>
      </c>
      <c r="AT4" s="213" t="s">
        <v>103</v>
      </c>
      <c r="AU4" s="214" t="s">
        <v>370</v>
      </c>
      <c r="AV4" s="213" t="s">
        <v>104</v>
      </c>
      <c r="AW4" s="214" t="s">
        <v>370</v>
      </c>
      <c r="AX4" s="213" t="s">
        <v>105</v>
      </c>
      <c r="AY4" s="213" t="s">
        <v>106</v>
      </c>
      <c r="AZ4" s="214" t="s">
        <v>370</v>
      </c>
      <c r="BA4" s="213" t="s">
        <v>305</v>
      </c>
      <c r="BB4" s="213" t="s">
        <v>107</v>
      </c>
      <c r="BC4" s="214" t="s">
        <v>370</v>
      </c>
      <c r="BD4" s="213" t="s">
        <v>108</v>
      </c>
      <c r="BE4" s="214" t="s">
        <v>370</v>
      </c>
      <c r="BF4" s="213" t="s">
        <v>109</v>
      </c>
      <c r="BG4" s="214" t="s">
        <v>370</v>
      </c>
      <c r="BH4" s="213" t="s">
        <v>110</v>
      </c>
      <c r="BI4" s="212" t="s">
        <v>345</v>
      </c>
      <c r="BJ4" s="213" t="s">
        <v>111</v>
      </c>
      <c r="BK4" s="213" t="s">
        <v>112</v>
      </c>
      <c r="BL4" s="214" t="s">
        <v>378</v>
      </c>
      <c r="BM4" s="214" t="s">
        <v>379</v>
      </c>
      <c r="BN4" s="213" t="s">
        <v>113</v>
      </c>
      <c r="BO4" s="213" t="s">
        <v>114</v>
      </c>
      <c r="BP4" s="213" t="s">
        <v>115</v>
      </c>
      <c r="BQ4" s="213" t="s">
        <v>116</v>
      </c>
      <c r="BR4" s="213" t="s">
        <v>367</v>
      </c>
      <c r="BS4" s="214" t="s">
        <v>341</v>
      </c>
      <c r="BT4" s="214" t="s">
        <v>375</v>
      </c>
      <c r="BU4" s="214" t="s">
        <v>370</v>
      </c>
      <c r="BV4" s="213" t="s">
        <v>117</v>
      </c>
      <c r="BW4" s="213" t="s">
        <v>118</v>
      </c>
      <c r="BX4" s="213" t="s">
        <v>119</v>
      </c>
      <c r="BY4" s="214" t="s">
        <v>370</v>
      </c>
      <c r="BZ4" s="213" t="s">
        <v>120</v>
      </c>
      <c r="CA4" s="214" t="s">
        <v>341</v>
      </c>
      <c r="CB4" s="214" t="s">
        <v>340</v>
      </c>
      <c r="CC4" s="213" t="s">
        <v>121</v>
      </c>
      <c r="CD4" s="213" t="s">
        <v>122</v>
      </c>
      <c r="CE4" s="214" t="s">
        <v>370</v>
      </c>
      <c r="CF4" s="213" t="s">
        <v>123</v>
      </c>
      <c r="CG4" s="213" t="s">
        <v>368</v>
      </c>
      <c r="CH4" s="213" t="s">
        <v>124</v>
      </c>
      <c r="CI4" s="213" t="s">
        <v>125</v>
      </c>
      <c r="CJ4" s="213" t="s">
        <v>126</v>
      </c>
      <c r="CK4" s="213" t="s">
        <v>127</v>
      </c>
      <c r="CL4" s="213" t="s">
        <v>128</v>
      </c>
      <c r="CM4" s="213" t="s">
        <v>129</v>
      </c>
      <c r="CN4" s="213" t="s">
        <v>130</v>
      </c>
      <c r="CO4" s="213" t="s">
        <v>195</v>
      </c>
      <c r="CP4" s="213" t="s">
        <v>369</v>
      </c>
      <c r="CQ4" s="214" t="s">
        <v>370</v>
      </c>
      <c r="CR4" s="213" t="s">
        <v>131</v>
      </c>
      <c r="CS4" s="213" t="s">
        <v>132</v>
      </c>
      <c r="CT4" s="213"/>
      <c r="CV4" s="198"/>
      <c r="CW4" s="198"/>
      <c r="CX4" s="198" t="s">
        <v>575</v>
      </c>
      <c r="CY4" s="198" t="s">
        <v>576</v>
      </c>
      <c r="CZ4" s="215"/>
    </row>
    <row r="5" spans="1:105" ht="11.25" customHeight="1">
      <c r="A5" s="318" t="s">
        <v>439</v>
      </c>
      <c r="B5" s="122"/>
      <c r="C5" s="214" t="s">
        <v>345</v>
      </c>
      <c r="D5" s="122"/>
      <c r="E5" s="243"/>
      <c r="F5" s="243"/>
      <c r="G5" s="243"/>
      <c r="H5" s="243"/>
      <c r="I5" s="243"/>
      <c r="J5" s="122"/>
      <c r="K5" s="243"/>
      <c r="L5" s="122"/>
      <c r="M5" s="214"/>
      <c r="N5" s="214" t="s">
        <v>345</v>
      </c>
      <c r="O5" s="214" t="s">
        <v>345</v>
      </c>
      <c r="P5" s="122"/>
      <c r="Q5" s="243"/>
      <c r="R5" s="122"/>
      <c r="S5" s="214" t="s">
        <v>345</v>
      </c>
      <c r="T5" s="122"/>
      <c r="U5" s="214" t="s">
        <v>345</v>
      </c>
      <c r="V5" s="122"/>
      <c r="W5" s="214" t="s">
        <v>345</v>
      </c>
      <c r="X5" s="214" t="s">
        <v>345</v>
      </c>
      <c r="Y5" s="122"/>
      <c r="Z5" s="243"/>
      <c r="AA5" s="122"/>
      <c r="AB5" s="212" t="s">
        <v>345</v>
      </c>
      <c r="AC5" s="122"/>
      <c r="AD5" s="122"/>
      <c r="AE5" s="214" t="s">
        <v>345</v>
      </c>
      <c r="AF5" s="122"/>
      <c r="AG5" s="122"/>
      <c r="AH5" s="122"/>
      <c r="AI5" s="122"/>
      <c r="AJ5" s="214" t="s">
        <v>345</v>
      </c>
      <c r="AK5" s="122"/>
      <c r="AL5" s="214" t="s">
        <v>345</v>
      </c>
      <c r="AM5" s="122"/>
      <c r="AN5" s="214" t="s">
        <v>345</v>
      </c>
      <c r="AO5" s="122"/>
      <c r="AP5" s="214" t="s">
        <v>345</v>
      </c>
      <c r="AQ5" s="122"/>
      <c r="AR5" s="122"/>
      <c r="AS5" s="214" t="s">
        <v>345</v>
      </c>
      <c r="AT5" s="122"/>
      <c r="AU5" s="214" t="s">
        <v>345</v>
      </c>
      <c r="AV5" s="122"/>
      <c r="AW5" s="214" t="s">
        <v>345</v>
      </c>
      <c r="AX5" s="122"/>
      <c r="AY5" s="122"/>
      <c r="AZ5" s="214" t="s">
        <v>345</v>
      </c>
      <c r="BA5" s="122"/>
      <c r="BB5" s="122"/>
      <c r="BC5" s="214" t="s">
        <v>345</v>
      </c>
      <c r="BD5" s="122"/>
      <c r="BE5" s="214" t="s">
        <v>345</v>
      </c>
      <c r="BF5" s="122"/>
      <c r="BG5" s="214" t="s">
        <v>345</v>
      </c>
      <c r="BH5" s="122"/>
      <c r="BI5" s="243"/>
      <c r="BJ5" s="122"/>
      <c r="BK5" s="122"/>
      <c r="BL5" s="214"/>
      <c r="BM5" s="214"/>
      <c r="BN5" s="122"/>
      <c r="BO5" s="122"/>
      <c r="BP5" s="122"/>
      <c r="BQ5" s="122"/>
      <c r="BR5" s="122"/>
      <c r="BS5" s="214"/>
      <c r="BT5" s="214"/>
      <c r="BU5" s="214" t="s">
        <v>345</v>
      </c>
      <c r="BV5" s="122"/>
      <c r="BW5" s="122"/>
      <c r="BY5" s="214" t="s">
        <v>345</v>
      </c>
      <c r="BZ5" s="122"/>
      <c r="CA5" s="214"/>
      <c r="CB5" s="214"/>
      <c r="CC5" s="122"/>
      <c r="CD5" s="122"/>
      <c r="CE5" s="214" t="s">
        <v>345</v>
      </c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Q5" s="214" t="s">
        <v>345</v>
      </c>
      <c r="CR5" s="122"/>
      <c r="CS5" s="122"/>
      <c r="CT5" s="122"/>
      <c r="CV5" s="218"/>
      <c r="CW5" s="218"/>
      <c r="CX5" s="218"/>
      <c r="CY5" s="218"/>
      <c r="CZ5" s="177"/>
      <c r="DA5" s="177"/>
    </row>
    <row r="6" spans="1:105" ht="12.75">
      <c r="A6" s="319" t="s">
        <v>440</v>
      </c>
      <c r="B6" s="241">
        <v>2341637.107</v>
      </c>
      <c r="C6" s="244">
        <v>87467.591</v>
      </c>
      <c r="D6" s="241">
        <v>2069917</v>
      </c>
      <c r="E6" s="244">
        <v>736225</v>
      </c>
      <c r="F6" s="244">
        <v>1081989</v>
      </c>
      <c r="G6" s="244">
        <v>9493</v>
      </c>
      <c r="H6" s="244">
        <v>1426</v>
      </c>
      <c r="I6" s="244">
        <v>240783</v>
      </c>
      <c r="J6" s="241">
        <v>945109.181</v>
      </c>
      <c r="K6" s="244">
        <v>10240.956</v>
      </c>
      <c r="L6" s="241">
        <v>903685.931</v>
      </c>
      <c r="M6" s="244">
        <v>851445.106</v>
      </c>
      <c r="N6" s="244">
        <v>42015.07</v>
      </c>
      <c r="O6" s="244">
        <v>10225.755</v>
      </c>
      <c r="P6" s="241">
        <v>663705.764</v>
      </c>
      <c r="Q6" s="244">
        <v>2557.009</v>
      </c>
      <c r="R6" s="241">
        <f>361148.893+71884.328</f>
        <v>433033.22099999996</v>
      </c>
      <c r="S6" s="244"/>
      <c r="T6" s="241">
        <f>451296.577+8360.346</f>
        <v>459656.923</v>
      </c>
      <c r="U6" s="244">
        <v>7403.279</v>
      </c>
      <c r="V6" s="241">
        <v>196536.78</v>
      </c>
      <c r="W6" s="244">
        <v>72168.262</v>
      </c>
      <c r="X6" s="244">
        <f>+V6-W6</f>
        <v>124368.518</v>
      </c>
      <c r="Y6" s="241">
        <v>485851.749</v>
      </c>
      <c r="Z6" s="244">
        <v>28521.367</v>
      </c>
      <c r="AA6" s="241">
        <v>281521.556</v>
      </c>
      <c r="AB6" s="244">
        <v>44890.672</v>
      </c>
      <c r="AC6" s="241">
        <v>278804.078</v>
      </c>
      <c r="AD6" s="241">
        <v>180102.932</v>
      </c>
      <c r="AE6" s="244">
        <v>2594</v>
      </c>
      <c r="AF6" s="241">
        <v>251971</v>
      </c>
      <c r="AG6" s="241">
        <v>115101.983</v>
      </c>
      <c r="AH6" s="241">
        <v>273205.296</v>
      </c>
      <c r="AI6" s="241">
        <v>348695.667</v>
      </c>
      <c r="AJ6" s="244"/>
      <c r="AK6" s="241">
        <v>148757.719</v>
      </c>
      <c r="AL6" s="244">
        <v>1776.464</v>
      </c>
      <c r="AM6" s="241">
        <v>1330161.426</v>
      </c>
      <c r="AN6" s="244"/>
      <c r="AO6" s="241">
        <v>678249.323</v>
      </c>
      <c r="AP6" s="244"/>
      <c r="AQ6" s="241">
        <v>74432.088</v>
      </c>
      <c r="AR6" s="241">
        <v>166664.255</v>
      </c>
      <c r="AS6" s="244">
        <v>713.231</v>
      </c>
      <c r="AT6" s="241">
        <v>71037.084</v>
      </c>
      <c r="AU6" s="244">
        <v>87.265</v>
      </c>
      <c r="AV6" s="241">
        <v>586265</v>
      </c>
      <c r="AW6" s="244"/>
      <c r="AX6" s="241">
        <v>23054.49</v>
      </c>
      <c r="AY6" s="241">
        <v>197723.207</v>
      </c>
      <c r="AZ6" s="244"/>
      <c r="BA6" s="241">
        <v>112713.745</v>
      </c>
      <c r="BB6" s="241">
        <v>300424.449</v>
      </c>
      <c r="BC6" s="244">
        <f>300424.449-46448.463</f>
        <v>253975.98600000003</v>
      </c>
      <c r="BD6" s="241">
        <v>66609.978</v>
      </c>
      <c r="BE6" s="244">
        <v>444.013</v>
      </c>
      <c r="BF6" s="241">
        <f>54403.57+29196.823</f>
        <v>83600.393</v>
      </c>
      <c r="BG6" s="244"/>
      <c r="BH6" s="241">
        <f>39139.743+21040.35+20833.489</f>
        <v>81013.582</v>
      </c>
      <c r="BI6" s="244"/>
      <c r="BJ6" s="241">
        <v>144319.213</v>
      </c>
      <c r="BK6" s="241">
        <v>0</v>
      </c>
      <c r="BL6" s="244">
        <v>0</v>
      </c>
      <c r="BM6" s="244">
        <v>0</v>
      </c>
      <c r="BN6" s="241">
        <v>0</v>
      </c>
      <c r="BO6" s="241">
        <v>0</v>
      </c>
      <c r="BP6" s="241">
        <v>31142.601</v>
      </c>
      <c r="BQ6" s="241">
        <v>56283.998</v>
      </c>
      <c r="BR6" s="241">
        <v>267729.144</v>
      </c>
      <c r="BS6" s="244">
        <v>227197.668</v>
      </c>
      <c r="BT6" s="244">
        <v>28942.158</v>
      </c>
      <c r="BU6" s="244">
        <v>11589.318</v>
      </c>
      <c r="BV6" s="241">
        <v>33314.568</v>
      </c>
      <c r="BW6" s="241">
        <v>16371.041</v>
      </c>
      <c r="BX6" s="241">
        <v>98323.485</v>
      </c>
      <c r="BY6" s="244">
        <f>98323.485-32092.47</f>
        <v>66231.015</v>
      </c>
      <c r="BZ6" s="241">
        <v>32264.648</v>
      </c>
      <c r="CA6" s="244">
        <f>+BZ6-CB6</f>
        <v>11551.596000000001</v>
      </c>
      <c r="CB6" s="244">
        <v>20713.052</v>
      </c>
      <c r="CC6" s="241">
        <v>0</v>
      </c>
      <c r="CD6" s="241">
        <f>39595.401+22894.18</f>
        <v>62489.581</v>
      </c>
      <c r="CE6" s="244"/>
      <c r="CF6" s="241">
        <f>45425.644+6867.084</f>
        <v>52292.728</v>
      </c>
      <c r="CG6" s="241">
        <v>8337.74</v>
      </c>
      <c r="CH6" s="241">
        <v>0</v>
      </c>
      <c r="CI6" s="241">
        <v>0</v>
      </c>
      <c r="CJ6" s="241">
        <v>10295.381</v>
      </c>
      <c r="CK6" s="241">
        <v>0</v>
      </c>
      <c r="CL6" s="241">
        <v>0</v>
      </c>
      <c r="CM6" s="241">
        <v>2817.96</v>
      </c>
      <c r="CN6" s="241">
        <v>2033.857</v>
      </c>
      <c r="CO6" s="241">
        <v>0</v>
      </c>
      <c r="CP6" s="241">
        <v>0</v>
      </c>
      <c r="CQ6" s="244">
        <v>0</v>
      </c>
      <c r="CR6" s="241">
        <v>4639.923</v>
      </c>
      <c r="CS6" s="241">
        <v>0</v>
      </c>
      <c r="CT6" s="241"/>
      <c r="CV6" s="93">
        <f>+B6+D6+J6+L6+P6+R6+T6+V6+Y6+AA6+AC6+AD6+AF6+AG6+AH6+AI6+AK6+AM6+AO6+AQ6+AR6+AT6+AV6+AX6+AY6+BA6+BB6+BD6+BF6+BH6+BJ6+BK6+BN6+BO6+BP6+BQ6+BR6+BV6+BW6+BX6+BZ6+CC6+CD6+CF6+CG6+CH6+CI6+CJ6+CK6+CL6+CM6+CN6+CO6+CP6+CR6+CS6</f>
        <v>14971898.774999999</v>
      </c>
      <c r="CW6" s="93"/>
      <c r="CX6" s="93">
        <f>+D6+AQ6+BJ6+BN6+BR6+BW6+BZ6+CF6+CG6+CJ6+CM6+CN6+CO6+CR6</f>
        <v>2685450.723</v>
      </c>
      <c r="CY6" s="93">
        <f>+B6+J6+L6+P6+R6+T6+V6+Y6+AA6+AC6+AD6+AF6+AG6+AH6+AI6+AK6+AM6+AO6+AR6+AT6+AV6+AX6+AY6+BA6+BB6+BD6+BF6+BH6+BK6+BO6+BP6+BQ6+BV6+BX6+CC6+CD6+CH6+CI6+CK6+CL6+CP6+CS6</f>
        <v>12286448.052</v>
      </c>
      <c r="CZ6" s="241"/>
      <c r="DA6" s="93"/>
    </row>
    <row r="7" spans="1:105" ht="12.75">
      <c r="A7" s="319" t="s">
        <v>441</v>
      </c>
      <c r="B7" s="241">
        <v>3512455.661</v>
      </c>
      <c r="C7" s="244">
        <v>113552.976</v>
      </c>
      <c r="D7" s="241">
        <v>4368878</v>
      </c>
      <c r="E7" s="244">
        <v>1212166</v>
      </c>
      <c r="F7" s="244">
        <v>3110498</v>
      </c>
      <c r="G7" s="244">
        <v>14240</v>
      </c>
      <c r="H7" s="244">
        <v>2140</v>
      </c>
      <c r="I7" s="244">
        <v>29834</v>
      </c>
      <c r="J7" s="241">
        <v>1412752.634</v>
      </c>
      <c r="K7" s="244">
        <v>10450.297</v>
      </c>
      <c r="L7" s="241">
        <v>1345328.54</v>
      </c>
      <c r="M7" s="244">
        <v>1275100.029</v>
      </c>
      <c r="N7" s="244">
        <v>62146.774</v>
      </c>
      <c r="O7" s="244">
        <v>8081.737</v>
      </c>
      <c r="P7" s="241">
        <v>989782.448</v>
      </c>
      <c r="Q7" s="244">
        <v>342.889</v>
      </c>
      <c r="R7" s="241">
        <v>541723.34</v>
      </c>
      <c r="S7" s="244"/>
      <c r="T7" s="241">
        <v>677029.173</v>
      </c>
      <c r="U7" s="244">
        <v>957.067</v>
      </c>
      <c r="V7" s="241">
        <v>459369.498</v>
      </c>
      <c r="W7" s="244">
        <v>271751.546</v>
      </c>
      <c r="X7" s="244">
        <f>+V7-W7</f>
        <v>187617.95200000005</v>
      </c>
      <c r="Y7" s="241">
        <v>728777.624</v>
      </c>
      <c r="Z7" s="244">
        <v>8490.534</v>
      </c>
      <c r="AA7" s="241">
        <v>491947.592</v>
      </c>
      <c r="AB7" s="244">
        <v>137671.651</v>
      </c>
      <c r="AC7" s="241">
        <v>418206.116</v>
      </c>
      <c r="AD7" s="241">
        <v>266474.855</v>
      </c>
      <c r="AE7" s="244">
        <v>0</v>
      </c>
      <c r="AF7" s="241">
        <v>341801</v>
      </c>
      <c r="AG7" s="241">
        <v>225510.601</v>
      </c>
      <c r="AH7" s="241">
        <v>409807.943</v>
      </c>
      <c r="AI7" s="241">
        <v>522911.646</v>
      </c>
      <c r="AJ7" s="244"/>
      <c r="AK7" s="241">
        <v>223136.579</v>
      </c>
      <c r="AL7" s="244">
        <v>482.985</v>
      </c>
      <c r="AM7" s="241">
        <v>0</v>
      </c>
      <c r="AN7" s="244"/>
      <c r="AO7" s="241">
        <v>986581.757</v>
      </c>
      <c r="AP7" s="244"/>
      <c r="AQ7" s="241">
        <v>120560.627</v>
      </c>
      <c r="AR7" s="241">
        <v>249517.435</v>
      </c>
      <c r="AS7" s="244">
        <v>649.714</v>
      </c>
      <c r="AT7" s="241">
        <v>284148.334</v>
      </c>
      <c r="AU7" s="244">
        <v>0</v>
      </c>
      <c r="AV7" s="241">
        <v>902284</v>
      </c>
      <c r="AW7" s="244"/>
      <c r="AX7" s="241">
        <v>85668.792</v>
      </c>
      <c r="AY7" s="241">
        <v>272126.483</v>
      </c>
      <c r="AZ7" s="244"/>
      <c r="BA7" s="241">
        <v>169070.617</v>
      </c>
      <c r="BB7" s="241">
        <v>526835.388</v>
      </c>
      <c r="BC7" s="244">
        <f>526835.388-68926.721</f>
        <v>457908.667</v>
      </c>
      <c r="BD7" s="241">
        <v>99914.968</v>
      </c>
      <c r="BE7" s="244">
        <v>44.401</v>
      </c>
      <c r="BF7" s="241">
        <v>82367.811</v>
      </c>
      <c r="BG7" s="244"/>
      <c r="BH7" s="241">
        <v>58723.719</v>
      </c>
      <c r="BI7" s="244"/>
      <c r="BJ7" s="241">
        <v>252778.471</v>
      </c>
      <c r="BK7" s="241">
        <v>0</v>
      </c>
      <c r="BL7" s="244">
        <v>0</v>
      </c>
      <c r="BM7" s="244">
        <v>0</v>
      </c>
      <c r="BN7" s="241">
        <v>37787.659</v>
      </c>
      <c r="BO7" s="241">
        <v>0</v>
      </c>
      <c r="BP7" s="241">
        <v>46713.903</v>
      </c>
      <c r="BQ7" s="241">
        <v>84439.861</v>
      </c>
      <c r="BR7" s="241">
        <v>703002.962</v>
      </c>
      <c r="BS7" s="244">
        <v>653022.344</v>
      </c>
      <c r="BT7" s="244">
        <v>48224.319</v>
      </c>
      <c r="BU7" s="244">
        <v>1756.299</v>
      </c>
      <c r="BV7" s="241">
        <f>58215.118+2472.754</f>
        <v>60687.872</v>
      </c>
      <c r="BW7" s="241">
        <v>24556.611</v>
      </c>
      <c r="BX7" s="241">
        <v>221670.681</v>
      </c>
      <c r="BY7" s="244">
        <f>221670.681-49721.103</f>
        <v>171949.578</v>
      </c>
      <c r="BZ7" s="241">
        <v>67377.396</v>
      </c>
      <c r="CA7" s="244">
        <f>+BZ7-CB7</f>
        <v>34746.34099999999</v>
      </c>
      <c r="CB7" s="244">
        <v>32631.055</v>
      </c>
      <c r="CC7" s="241">
        <v>0</v>
      </c>
      <c r="CD7" s="241">
        <v>0</v>
      </c>
      <c r="CE7" s="244"/>
      <c r="CF7" s="241">
        <v>47007.624</v>
      </c>
      <c r="CG7" s="241">
        <v>12506.658</v>
      </c>
      <c r="CH7" s="241">
        <v>0</v>
      </c>
      <c r="CI7" s="241">
        <v>0</v>
      </c>
      <c r="CJ7" s="241">
        <v>15443.088</v>
      </c>
      <c r="CK7" s="241">
        <v>0</v>
      </c>
      <c r="CL7" s="241">
        <v>0</v>
      </c>
      <c r="CM7" s="241">
        <v>4226.901</v>
      </c>
      <c r="CN7" s="241">
        <v>3057.568</v>
      </c>
      <c r="CO7" s="241">
        <v>0</v>
      </c>
      <c r="CP7" s="241">
        <v>0</v>
      </c>
      <c r="CQ7" s="244">
        <v>0</v>
      </c>
      <c r="CR7" s="241">
        <v>6959.885</v>
      </c>
      <c r="CS7" s="241">
        <v>0</v>
      </c>
      <c r="CT7" s="241"/>
      <c r="CV7" s="93">
        <f aca="true" t="shared" si="0" ref="CV7:CV68">+B7+D7+J7+L7+P7+R7+T7+V7+Y7+AA7+AC7+AD7+AF7+AG7+AH7+AI7+AK7+AM7+AO7+AQ7+AR7+AT7+AV7+AX7+AY7+BA7+BB7+BD7+BF7+BH7+BJ7+BK7+BN7+BO7+BP7+BQ7+BR7+BV7+BW7+BX7+BZ7+CC7+CD7+CF7+CG7+CH7+CI7+CJ7+CK7+CL7+CM7+CN7+CO7+CP7+CR7+CS7</f>
        <v>22361910.321000014</v>
      </c>
      <c r="CW7" s="93"/>
      <c r="CX7" s="93">
        <f aca="true" t="shared" si="1" ref="CX7:CX68">+D7+AQ7+BJ7+BN7+BR7+BW7+BZ7+CF7+CG7+CJ7+CM7+CN7+CO7+CR7</f>
        <v>5664143.449999999</v>
      </c>
      <c r="CY7" s="93">
        <f aca="true" t="shared" si="2" ref="CY7:CY68">+B7+J7+L7+P7+R7+T7+V7+Y7+AA7+AC7+AD7+AF7+AG7+AH7+AI7+AK7+AM7+AO7+AR7+AT7+AV7+AX7+AY7+BA7+BB7+BD7+BF7+BH7+BK7+BO7+BP7+BQ7+BV7+BX7+CC7+CD7+CH7+CI7+CK7+CL7+CP7+CS7</f>
        <v>16697766.871000001</v>
      </c>
      <c r="CZ7" s="241"/>
      <c r="DA7" s="93"/>
    </row>
    <row r="8" spans="1:105" ht="12.75">
      <c r="A8" s="319" t="s">
        <v>442</v>
      </c>
      <c r="B8" s="241">
        <v>0</v>
      </c>
      <c r="C8" s="244">
        <v>0</v>
      </c>
      <c r="D8" s="241">
        <v>-3519</v>
      </c>
      <c r="E8" s="244">
        <v>-1247</v>
      </c>
      <c r="F8" s="244">
        <v>-1866</v>
      </c>
      <c r="G8" s="244">
        <v>0</v>
      </c>
      <c r="H8" s="244">
        <v>0</v>
      </c>
      <c r="I8" s="244">
        <v>-406</v>
      </c>
      <c r="J8" s="241">
        <v>-6635.294</v>
      </c>
      <c r="K8" s="244">
        <v>-179.6</v>
      </c>
      <c r="L8" s="241">
        <v>-103.395</v>
      </c>
      <c r="M8" s="244">
        <v>836.252</v>
      </c>
      <c r="N8" s="244">
        <v>-543.215</v>
      </c>
      <c r="O8" s="244">
        <v>-396.432</v>
      </c>
      <c r="P8" s="241">
        <v>7059.707</v>
      </c>
      <c r="Q8" s="244">
        <v>-185.597</v>
      </c>
      <c r="R8" s="241">
        <v>-4186.694</v>
      </c>
      <c r="S8" s="244"/>
      <c r="T8" s="241">
        <v>-18791.085</v>
      </c>
      <c r="U8" s="244">
        <v>0</v>
      </c>
      <c r="V8" s="241">
        <v>-5880.347</v>
      </c>
      <c r="W8" s="244">
        <v>-5880.347</v>
      </c>
      <c r="X8" s="244">
        <f>+V8-W8</f>
        <v>0</v>
      </c>
      <c r="Y8" s="241">
        <v>308.063</v>
      </c>
      <c r="Z8" s="244">
        <v>0</v>
      </c>
      <c r="AA8" s="241">
        <v>-3090.02</v>
      </c>
      <c r="AB8" s="244">
        <v>0</v>
      </c>
      <c r="AC8" s="241">
        <v>-5386.306</v>
      </c>
      <c r="AD8" s="241">
        <v>-2946.56</v>
      </c>
      <c r="AE8" s="244">
        <v>0</v>
      </c>
      <c r="AF8" s="241">
        <v>-19486</v>
      </c>
      <c r="AG8" s="241">
        <v>2253.316</v>
      </c>
      <c r="AH8" s="241">
        <v>-3801.43</v>
      </c>
      <c r="AI8" s="241">
        <v>7869.421</v>
      </c>
      <c r="AJ8" s="244"/>
      <c r="AK8" s="241">
        <v>-1082.951</v>
      </c>
      <c r="AL8" s="244">
        <v>-27.587</v>
      </c>
      <c r="AM8" s="241">
        <v>-87697.424</v>
      </c>
      <c r="AN8" s="244"/>
      <c r="AO8" s="241">
        <v>241364.492</v>
      </c>
      <c r="AP8" s="244"/>
      <c r="AQ8" s="241">
        <v>-249.549</v>
      </c>
      <c r="AR8" s="241">
        <v>-3469.161</v>
      </c>
      <c r="AS8" s="244">
        <v>-9.049</v>
      </c>
      <c r="AT8" s="241">
        <v>0</v>
      </c>
      <c r="AU8" s="244">
        <v>2821.016</v>
      </c>
      <c r="AV8" s="241">
        <v>-178535</v>
      </c>
      <c r="AW8" s="244"/>
      <c r="AX8" s="241">
        <v>0</v>
      </c>
      <c r="AY8" s="241">
        <v>-643.388</v>
      </c>
      <c r="AZ8" s="244"/>
      <c r="BA8" s="241">
        <v>-3123.44</v>
      </c>
      <c r="BB8" s="241">
        <v>-43974.79</v>
      </c>
      <c r="BC8" s="244">
        <v>0</v>
      </c>
      <c r="BD8" s="241">
        <v>-1186.23</v>
      </c>
      <c r="BE8" s="244">
        <v>0</v>
      </c>
      <c r="BF8" s="241">
        <v>-673.885</v>
      </c>
      <c r="BG8" s="244"/>
      <c r="BH8" s="241">
        <v>-392.181</v>
      </c>
      <c r="BI8" s="244"/>
      <c r="BJ8" s="241">
        <v>-2896.384</v>
      </c>
      <c r="BK8" s="241">
        <v>-76.902</v>
      </c>
      <c r="BL8" s="244">
        <v>-76.902</v>
      </c>
      <c r="BM8" s="244">
        <v>0</v>
      </c>
      <c r="BN8" s="241">
        <v>-174116.605</v>
      </c>
      <c r="BO8" s="241">
        <v>0</v>
      </c>
      <c r="BP8" s="241">
        <v>-393.525</v>
      </c>
      <c r="BQ8" s="241">
        <v>-2052.782</v>
      </c>
      <c r="BR8" s="241">
        <v>-125.433</v>
      </c>
      <c r="BS8" s="244">
        <v>-125.433</v>
      </c>
      <c r="BT8" s="244">
        <v>0</v>
      </c>
      <c r="BU8" s="244">
        <v>0</v>
      </c>
      <c r="BV8" s="241">
        <f>-91380.889-11595.778</f>
        <v>-102976.667</v>
      </c>
      <c r="BW8" s="241">
        <v>307.537</v>
      </c>
      <c r="BX8" s="241">
        <v>26228.261</v>
      </c>
      <c r="BY8" s="244">
        <v>26228.261</v>
      </c>
      <c r="BZ8" s="241">
        <v>0</v>
      </c>
      <c r="CA8" s="244">
        <f>+BZ8-CB8</f>
        <v>0</v>
      </c>
      <c r="CB8" s="244">
        <v>0</v>
      </c>
      <c r="CC8" s="241">
        <v>-130.574</v>
      </c>
      <c r="CD8" s="241">
        <v>-1522.571</v>
      </c>
      <c r="CE8" s="244"/>
      <c r="CF8" s="241">
        <v>76.15</v>
      </c>
      <c r="CG8" s="241">
        <v>-49.783</v>
      </c>
      <c r="CH8" s="241">
        <v>-468.552</v>
      </c>
      <c r="CI8" s="241">
        <v>-121.053</v>
      </c>
      <c r="CJ8" s="241">
        <v>-170.24</v>
      </c>
      <c r="CK8" s="241">
        <v>0</v>
      </c>
      <c r="CL8" s="241">
        <v>-6.965</v>
      </c>
      <c r="CM8" s="241">
        <v>71.957</v>
      </c>
      <c r="CN8" s="241">
        <v>0</v>
      </c>
      <c r="CO8" s="241">
        <v>0</v>
      </c>
      <c r="CP8" s="241">
        <f>-29672.291+-1134.905</f>
        <v>-30807.196</v>
      </c>
      <c r="CQ8" s="244">
        <v>-29672.291</v>
      </c>
      <c r="CR8" s="241">
        <v>0</v>
      </c>
      <c r="CS8" s="241">
        <v>0</v>
      </c>
      <c r="CT8" s="241"/>
      <c r="CV8" s="93">
        <f t="shared" si="0"/>
        <v>-425230.45800000016</v>
      </c>
      <c r="CW8" s="93"/>
      <c r="CX8" s="93">
        <f t="shared" si="1"/>
        <v>-180671.34999999998</v>
      </c>
      <c r="CY8" s="93">
        <f t="shared" si="2"/>
        <v>-244559.10800000004</v>
      </c>
      <c r="CZ8" s="241"/>
      <c r="DA8" s="93"/>
    </row>
    <row r="9" spans="1:105" ht="12.75">
      <c r="A9" s="319" t="s">
        <v>443</v>
      </c>
      <c r="B9" s="241">
        <v>0</v>
      </c>
      <c r="C9" s="244"/>
      <c r="D9" s="241">
        <f>2705823+499350+7865354</f>
        <v>11070527</v>
      </c>
      <c r="E9" s="244">
        <f>2506210+499350+7847635</f>
        <v>10853195</v>
      </c>
      <c r="F9" s="244">
        <v>0</v>
      </c>
      <c r="G9" s="244">
        <f>173176+15366</f>
        <v>188542</v>
      </c>
      <c r="H9" s="244">
        <f>26437+2353</f>
        <v>28790</v>
      </c>
      <c r="I9" s="244"/>
      <c r="J9" s="241">
        <v>0</v>
      </c>
      <c r="K9" s="244"/>
      <c r="L9" s="241">
        <v>0</v>
      </c>
      <c r="M9" s="244"/>
      <c r="N9" s="244">
        <v>0</v>
      </c>
      <c r="O9" s="244"/>
      <c r="P9" s="241">
        <v>0</v>
      </c>
      <c r="Q9" s="244"/>
      <c r="R9" s="241">
        <v>0</v>
      </c>
      <c r="S9" s="244"/>
      <c r="T9" s="241">
        <v>0</v>
      </c>
      <c r="U9" s="244"/>
      <c r="V9" s="241">
        <v>0</v>
      </c>
      <c r="W9" s="244">
        <v>0</v>
      </c>
      <c r="X9" s="244">
        <f>+V9-W9</f>
        <v>0</v>
      </c>
      <c r="Y9" s="241">
        <v>0</v>
      </c>
      <c r="Z9" s="244"/>
      <c r="AA9" s="241">
        <v>0</v>
      </c>
      <c r="AB9" s="244"/>
      <c r="AC9" s="241">
        <v>0</v>
      </c>
      <c r="AD9" s="241">
        <v>0</v>
      </c>
      <c r="AE9" s="244"/>
      <c r="AF9" s="241">
        <v>0</v>
      </c>
      <c r="AG9" s="241">
        <v>0</v>
      </c>
      <c r="AH9" s="241">
        <v>0</v>
      </c>
      <c r="AI9" s="241">
        <v>0</v>
      </c>
      <c r="AJ9" s="244"/>
      <c r="AK9" s="241">
        <v>0</v>
      </c>
      <c r="AL9" s="244"/>
      <c r="AM9" s="241">
        <v>0</v>
      </c>
      <c r="AN9" s="244"/>
      <c r="AO9" s="241">
        <v>0</v>
      </c>
      <c r="AP9" s="244"/>
      <c r="AQ9" s="241">
        <f>206438.616+878187.195</f>
        <v>1084625.811</v>
      </c>
      <c r="AR9" s="241">
        <v>0</v>
      </c>
      <c r="AS9" s="244"/>
      <c r="AT9" s="241">
        <v>0</v>
      </c>
      <c r="AU9" s="244"/>
      <c r="AV9" s="241">
        <v>0</v>
      </c>
      <c r="AW9" s="244"/>
      <c r="AX9" s="241">
        <v>0</v>
      </c>
      <c r="AY9" s="241">
        <v>0</v>
      </c>
      <c r="AZ9" s="244"/>
      <c r="BA9" s="241">
        <v>0</v>
      </c>
      <c r="BB9" s="241">
        <v>0</v>
      </c>
      <c r="BC9" s="244"/>
      <c r="BD9" s="241">
        <v>0</v>
      </c>
      <c r="BE9" s="244"/>
      <c r="BF9" s="241">
        <v>0</v>
      </c>
      <c r="BG9" s="244"/>
      <c r="BH9" s="241">
        <v>0</v>
      </c>
      <c r="BI9" s="244"/>
      <c r="BJ9" s="241">
        <v>418944.127</v>
      </c>
      <c r="BK9" s="241">
        <v>22074.259</v>
      </c>
      <c r="BL9" s="244">
        <v>0</v>
      </c>
      <c r="BM9" s="244">
        <v>22074.259</v>
      </c>
      <c r="BN9" s="241">
        <v>0</v>
      </c>
      <c r="BO9" s="241">
        <v>0</v>
      </c>
      <c r="BP9" s="241">
        <v>0</v>
      </c>
      <c r="BQ9" s="241">
        <v>0</v>
      </c>
      <c r="BR9" s="241">
        <v>0</v>
      </c>
      <c r="BS9" s="244">
        <v>0</v>
      </c>
      <c r="BT9" s="244">
        <v>0</v>
      </c>
      <c r="BU9" s="244"/>
      <c r="BV9" s="241">
        <v>0</v>
      </c>
      <c r="BW9" s="241">
        <v>25122.621</v>
      </c>
      <c r="BX9" s="241">
        <v>0</v>
      </c>
      <c r="BY9" s="244"/>
      <c r="BZ9" s="241">
        <v>33605.611</v>
      </c>
      <c r="CA9" s="244">
        <f>+BZ9-CB9</f>
        <v>0</v>
      </c>
      <c r="CB9" s="244">
        <v>33605.611</v>
      </c>
      <c r="CC9" s="241">
        <v>10738.24</v>
      </c>
      <c r="CD9" s="241">
        <v>0</v>
      </c>
      <c r="CE9" s="244"/>
      <c r="CF9" s="241">
        <v>0</v>
      </c>
      <c r="CG9" s="241">
        <v>21059.587</v>
      </c>
      <c r="CH9" s="241">
        <v>0</v>
      </c>
      <c r="CI9" s="241">
        <v>0</v>
      </c>
      <c r="CJ9" s="241">
        <v>17677.969</v>
      </c>
      <c r="CK9" s="241">
        <v>2600.753</v>
      </c>
      <c r="CL9" s="241">
        <v>0</v>
      </c>
      <c r="CM9" s="241">
        <v>12260.425</v>
      </c>
      <c r="CN9" s="241">
        <v>8795.196</v>
      </c>
      <c r="CO9" s="241">
        <v>84000</v>
      </c>
      <c r="CP9" s="241">
        <v>0</v>
      </c>
      <c r="CQ9" s="244"/>
      <c r="CR9" s="241">
        <v>13816.704</v>
      </c>
      <c r="CS9" s="241">
        <v>0</v>
      </c>
      <c r="CT9" s="241"/>
      <c r="CV9" s="93">
        <f t="shared" si="0"/>
        <v>12825848.303000001</v>
      </c>
      <c r="CW9" s="93"/>
      <c r="CX9" s="93">
        <f t="shared" si="1"/>
        <v>12790435.051</v>
      </c>
      <c r="CY9" s="93">
        <f t="shared" si="2"/>
        <v>35413.25199999999</v>
      </c>
      <c r="CZ9" s="241"/>
      <c r="DA9" s="93"/>
    </row>
    <row r="10" spans="1:105" ht="5.25" customHeight="1">
      <c r="A10" s="319"/>
      <c r="CV10" s="93"/>
      <c r="CW10" s="93"/>
      <c r="CX10" s="93"/>
      <c r="CY10" s="93"/>
      <c r="DA10" s="93"/>
    </row>
    <row r="11" spans="1:105" ht="13.5">
      <c r="A11" s="321" t="s">
        <v>439</v>
      </c>
      <c r="B11" s="93">
        <f aca="true" t="shared" si="3" ref="B11:BM11">SUM(B6:B9)</f>
        <v>5854092.767999999</v>
      </c>
      <c r="C11" s="219">
        <f>SUM(C6:C10)</f>
        <v>201020.56699999998</v>
      </c>
      <c r="D11" s="93">
        <f t="shared" si="3"/>
        <v>17505803</v>
      </c>
      <c r="E11" s="219">
        <f>SUM(E6:E9)-1</f>
        <v>12800338</v>
      </c>
      <c r="F11" s="219">
        <f t="shared" si="3"/>
        <v>4190621</v>
      </c>
      <c r="G11" s="219">
        <f t="shared" si="3"/>
        <v>212275</v>
      </c>
      <c r="H11" s="219">
        <f t="shared" si="3"/>
        <v>32356</v>
      </c>
      <c r="I11" s="219">
        <f>SUM(I6:I10)</f>
        <v>270211</v>
      </c>
      <c r="J11" s="93">
        <f t="shared" si="3"/>
        <v>2351226.5209999997</v>
      </c>
      <c r="K11" s="219">
        <f>SUM(K6:K10)</f>
        <v>20511.653000000002</v>
      </c>
      <c r="L11" s="93">
        <f t="shared" si="3"/>
        <v>2248911.076</v>
      </c>
      <c r="M11" s="219">
        <f t="shared" si="3"/>
        <v>2127381.387</v>
      </c>
      <c r="N11" s="219">
        <f t="shared" si="3"/>
        <v>103618.629</v>
      </c>
      <c r="O11" s="219">
        <f>SUM(O6:O10)</f>
        <v>17911.059999999998</v>
      </c>
      <c r="P11" s="93">
        <f t="shared" si="3"/>
        <v>1660547.9189999998</v>
      </c>
      <c r="Q11" s="219">
        <f>SUM(Q6:Q10)</f>
        <v>2714.301</v>
      </c>
      <c r="R11" s="93">
        <f t="shared" si="3"/>
        <v>970569.867</v>
      </c>
      <c r="S11" s="219">
        <v>71884.328</v>
      </c>
      <c r="T11" s="93">
        <f t="shared" si="3"/>
        <v>1117895.011</v>
      </c>
      <c r="U11" s="219">
        <f>SUM(U6:U10)</f>
        <v>8360.346000000001</v>
      </c>
      <c r="V11" s="93">
        <f t="shared" si="3"/>
        <v>650025.9310000001</v>
      </c>
      <c r="W11" s="219">
        <f t="shared" si="3"/>
        <v>338039.46099999995</v>
      </c>
      <c r="X11" s="219">
        <f t="shared" si="3"/>
        <v>311986.47000000003</v>
      </c>
      <c r="Y11" s="93">
        <f>SUM(Y6:Y9)</f>
        <v>1214937.436</v>
      </c>
      <c r="Z11" s="219">
        <f>SUM(Z6:Z10)</f>
        <v>37011.901</v>
      </c>
      <c r="AA11" s="93">
        <f t="shared" si="3"/>
        <v>770379.128</v>
      </c>
      <c r="AB11" s="219">
        <f>SUM(AB6:AB10)</f>
        <v>182562.323</v>
      </c>
      <c r="AC11" s="93">
        <f t="shared" si="3"/>
        <v>691623.8879999999</v>
      </c>
      <c r="AD11" s="93">
        <f t="shared" si="3"/>
        <v>443631.227</v>
      </c>
      <c r="AE11" s="219">
        <f>SUM(AE6:AE10)</f>
        <v>2594</v>
      </c>
      <c r="AF11" s="93">
        <f>SUM(AF6:AF9)</f>
        <v>574286</v>
      </c>
      <c r="AG11" s="93">
        <f t="shared" si="3"/>
        <v>342865.89999999997</v>
      </c>
      <c r="AH11" s="93">
        <f>SUM(AH6:AH9)</f>
        <v>679211.809</v>
      </c>
      <c r="AI11" s="93">
        <f t="shared" si="3"/>
        <v>879476.734</v>
      </c>
      <c r="AJ11" s="219">
        <v>52333.729</v>
      </c>
      <c r="AK11" s="93">
        <f t="shared" si="3"/>
        <v>370811.347</v>
      </c>
      <c r="AL11" s="219">
        <f>SUM(AL6:AL10)</f>
        <v>2231.862</v>
      </c>
      <c r="AM11" s="93">
        <f t="shared" si="3"/>
        <v>1242464.0019999999</v>
      </c>
      <c r="AN11" s="219">
        <v>883453</v>
      </c>
      <c r="AO11" s="93">
        <f>SUM(AO6:AO9)</f>
        <v>1906195.5720000002</v>
      </c>
      <c r="AP11" s="219">
        <v>1382403</v>
      </c>
      <c r="AQ11" s="93">
        <f>SUM(AQ6:AQ9)</f>
        <v>1279368.977</v>
      </c>
      <c r="AR11" s="93">
        <f t="shared" si="3"/>
        <v>412712.529</v>
      </c>
      <c r="AS11" s="219">
        <f>SUM(AS6:AS10)</f>
        <v>1353.8960000000002</v>
      </c>
      <c r="AT11" s="93">
        <f t="shared" si="3"/>
        <v>355185.41799999995</v>
      </c>
      <c r="AU11" s="219">
        <f>SUM(AU6:AU10)</f>
        <v>2908.281</v>
      </c>
      <c r="AV11" s="93">
        <f>SUM(AV6:AV9)</f>
        <v>1310014</v>
      </c>
      <c r="AW11" s="219">
        <v>993248</v>
      </c>
      <c r="AX11" s="93">
        <f t="shared" si="3"/>
        <v>108723.282</v>
      </c>
      <c r="AY11" s="93">
        <f t="shared" si="3"/>
        <v>469206.302</v>
      </c>
      <c r="AZ11" s="219">
        <v>154839.931</v>
      </c>
      <c r="BA11" s="93">
        <f t="shared" si="3"/>
        <v>278660.92199999996</v>
      </c>
      <c r="BB11" s="93">
        <f t="shared" si="3"/>
        <v>783285.047</v>
      </c>
      <c r="BC11" s="219">
        <f>SUM(BC6:BC10)</f>
        <v>711884.653</v>
      </c>
      <c r="BD11" s="93">
        <f t="shared" si="3"/>
        <v>165338.716</v>
      </c>
      <c r="BE11" s="219">
        <f>SUM(BE6:BE10)</f>
        <v>488.414</v>
      </c>
      <c r="BF11" s="93">
        <f>SUM(BF6:BF9)</f>
        <v>165294.319</v>
      </c>
      <c r="BG11" s="219">
        <v>29196.823</v>
      </c>
      <c r="BH11" s="93">
        <f>SUM(BH6:BH9)</f>
        <v>139345.11999999997</v>
      </c>
      <c r="BI11" s="219">
        <v>21040.35</v>
      </c>
      <c r="BJ11" s="93">
        <f t="shared" si="3"/>
        <v>813145.4269999999</v>
      </c>
      <c r="BK11" s="93">
        <f t="shared" si="3"/>
        <v>21997.357</v>
      </c>
      <c r="BL11" s="219">
        <f t="shared" si="3"/>
        <v>-76.902</v>
      </c>
      <c r="BM11" s="219">
        <f t="shared" si="3"/>
        <v>22074.259</v>
      </c>
      <c r="BN11" s="93">
        <f aca="true" t="shared" si="4" ref="BN11:CR11">SUM(BN6:BN9)</f>
        <v>-136328.946</v>
      </c>
      <c r="BO11" s="93">
        <f>SUM(BO6:BO9)</f>
        <v>0</v>
      </c>
      <c r="BP11" s="93">
        <f t="shared" si="4"/>
        <v>77462.979</v>
      </c>
      <c r="BQ11" s="93">
        <f t="shared" si="4"/>
        <v>138671.077</v>
      </c>
      <c r="BR11" s="93">
        <f>SUM(BR6:BR9)</f>
        <v>970606.6730000001</v>
      </c>
      <c r="BS11" s="219">
        <f>SUM(BS6:BS9)</f>
        <v>880094.5790000001</v>
      </c>
      <c r="BT11" s="219">
        <f>SUM(BT6:BT9)</f>
        <v>77166.477</v>
      </c>
      <c r="BU11" s="219">
        <f>SUM(BU6:BU10)</f>
        <v>13345.616999999998</v>
      </c>
      <c r="BV11" s="93">
        <f>SUM(BV6:BV9)</f>
        <v>-8974.226999999999</v>
      </c>
      <c r="BW11" s="93">
        <f t="shared" si="4"/>
        <v>66357.81</v>
      </c>
      <c r="BX11" s="93">
        <f>SUM(BX6:BX9)</f>
        <v>346222.427</v>
      </c>
      <c r="BY11" s="219">
        <f>SUM(BY6:BY10)</f>
        <v>264408.854</v>
      </c>
      <c r="BZ11" s="93">
        <f>SUM(BZ6:BZ9)</f>
        <v>133247.655</v>
      </c>
      <c r="CA11" s="219">
        <f>SUM(CA6:CA9)</f>
        <v>46297.93699999999</v>
      </c>
      <c r="CB11" s="219">
        <f>SUM(CB6:CB9)</f>
        <v>86949.718</v>
      </c>
      <c r="CC11" s="93">
        <f t="shared" si="4"/>
        <v>10607.666</v>
      </c>
      <c r="CD11" s="93">
        <f t="shared" si="4"/>
        <v>60967.009999999995</v>
      </c>
      <c r="CE11" s="219">
        <v>38072.83</v>
      </c>
      <c r="CF11" s="93">
        <f t="shared" si="4"/>
        <v>99376.50200000001</v>
      </c>
      <c r="CG11" s="93">
        <f t="shared" si="4"/>
        <v>41854.202000000005</v>
      </c>
      <c r="CH11" s="93">
        <f t="shared" si="4"/>
        <v>-468.552</v>
      </c>
      <c r="CI11" s="93">
        <f t="shared" si="4"/>
        <v>-121.053</v>
      </c>
      <c r="CJ11" s="93">
        <f>SUM(CJ6:CJ9)</f>
        <v>43246.198</v>
      </c>
      <c r="CK11" s="93">
        <f t="shared" si="4"/>
        <v>2600.753</v>
      </c>
      <c r="CL11" s="93">
        <f t="shared" si="4"/>
        <v>-6.965</v>
      </c>
      <c r="CM11" s="93">
        <f t="shared" si="4"/>
        <v>19377.243</v>
      </c>
      <c r="CN11" s="93">
        <f t="shared" si="4"/>
        <v>13886.621</v>
      </c>
      <c r="CO11" s="93">
        <f t="shared" si="4"/>
        <v>84000</v>
      </c>
      <c r="CP11" s="93">
        <f>SUM(CP6:CP9)</f>
        <v>-30807.196</v>
      </c>
      <c r="CQ11" s="219">
        <f>SUM(CQ6:CQ10)</f>
        <v>-29672.291</v>
      </c>
      <c r="CR11" s="93">
        <f t="shared" si="4"/>
        <v>25416.512000000002</v>
      </c>
      <c r="CS11" s="93">
        <f>SUM(CS6:CS9)</f>
        <v>0</v>
      </c>
      <c r="CT11" s="93"/>
      <c r="CV11" s="93">
        <f t="shared" si="0"/>
        <v>49734426.94099996</v>
      </c>
      <c r="CW11" s="93"/>
      <c r="CX11" s="93">
        <f t="shared" si="1"/>
        <v>20959357.873999998</v>
      </c>
      <c r="CY11" s="93">
        <f t="shared" si="2"/>
        <v>28775069.066999998</v>
      </c>
      <c r="CZ11" s="93"/>
      <c r="DA11" s="93"/>
    </row>
    <row r="12" spans="1:105" ht="6.75" customHeight="1">
      <c r="A12" s="321"/>
      <c r="CV12" s="93"/>
      <c r="CW12" s="93"/>
      <c r="CX12" s="93"/>
      <c r="CY12" s="93"/>
      <c r="DA12" s="93"/>
    </row>
    <row r="13" spans="1:105" ht="12.75">
      <c r="A13" s="318" t="s">
        <v>444</v>
      </c>
      <c r="CV13" s="93"/>
      <c r="CW13" s="93"/>
      <c r="CX13" s="93"/>
      <c r="CY13" s="93"/>
      <c r="DA13" s="93"/>
    </row>
    <row r="14" spans="1:105" ht="12.75">
      <c r="A14" s="319" t="s">
        <v>445</v>
      </c>
      <c r="B14" s="241">
        <v>1565375.674</v>
      </c>
      <c r="C14" s="244">
        <v>6145.27</v>
      </c>
      <c r="D14" s="241">
        <v>6333288</v>
      </c>
      <c r="E14" s="244">
        <v>6114501</v>
      </c>
      <c r="F14" s="244">
        <v>11433</v>
      </c>
      <c r="G14" s="244">
        <v>180309</v>
      </c>
      <c r="H14" s="244">
        <v>26437</v>
      </c>
      <c r="I14" s="244">
        <v>607</v>
      </c>
      <c r="J14" s="241">
        <v>1538153.711</v>
      </c>
      <c r="K14" s="244">
        <v>1862.675</v>
      </c>
      <c r="L14" s="241">
        <v>1045256.905</v>
      </c>
      <c r="M14" s="244">
        <v>1043620.953</v>
      </c>
      <c r="N14" s="244">
        <v>0</v>
      </c>
      <c r="O14" s="244">
        <v>1636</v>
      </c>
      <c r="P14" s="241">
        <v>869050.99</v>
      </c>
      <c r="Q14" s="244">
        <v>0</v>
      </c>
      <c r="R14" s="241">
        <v>505582.872</v>
      </c>
      <c r="S14" s="244">
        <v>0</v>
      </c>
      <c r="T14" s="241">
        <v>170399.449</v>
      </c>
      <c r="U14" s="244">
        <v>0</v>
      </c>
      <c r="V14" s="241">
        <v>449000.636</v>
      </c>
      <c r="W14" s="244">
        <v>437515.737</v>
      </c>
      <c r="X14" s="244">
        <f>+V14-W14</f>
        <v>11484.898999999976</v>
      </c>
      <c r="Y14" s="241">
        <v>149276.684</v>
      </c>
      <c r="Z14" s="244">
        <v>0</v>
      </c>
      <c r="AA14" s="241">
        <v>642564.226</v>
      </c>
      <c r="AB14" s="244">
        <v>5905.043</v>
      </c>
      <c r="AC14" s="241">
        <v>276405.211</v>
      </c>
      <c r="AD14" s="241">
        <v>255616.533</v>
      </c>
      <c r="AE14" s="244">
        <v>0</v>
      </c>
      <c r="AF14" s="241">
        <v>171016</v>
      </c>
      <c r="AG14" s="241">
        <v>546006.781</v>
      </c>
      <c r="AH14" s="241">
        <v>367166.954</v>
      </c>
      <c r="AI14" s="241">
        <f>110332.364+4800.241</f>
        <v>115132.605</v>
      </c>
      <c r="AJ14" s="244">
        <v>0</v>
      </c>
      <c r="AK14" s="241">
        <v>220656.702</v>
      </c>
      <c r="AL14" s="244">
        <v>0</v>
      </c>
      <c r="AM14" s="241">
        <v>87993.002</v>
      </c>
      <c r="AN14" s="244"/>
      <c r="AO14" s="241">
        <v>69320.025</v>
      </c>
      <c r="AP14" s="244"/>
      <c r="AQ14" s="241">
        <v>426240.619</v>
      </c>
      <c r="AR14" s="241">
        <v>229315.616</v>
      </c>
      <c r="AS14" s="244">
        <v>0</v>
      </c>
      <c r="AT14" s="241">
        <v>203728.866</v>
      </c>
      <c r="AU14" s="244">
        <v>0</v>
      </c>
      <c r="AV14" s="241">
        <v>79447</v>
      </c>
      <c r="AW14" s="244">
        <v>78998</v>
      </c>
      <c r="AX14" s="241">
        <v>177790.261</v>
      </c>
      <c r="AY14" s="241">
        <v>32331.065</v>
      </c>
      <c r="AZ14" s="244"/>
      <c r="BA14" s="241">
        <v>119670.893</v>
      </c>
      <c r="BB14" s="241">
        <v>59757.555</v>
      </c>
      <c r="BC14" s="244">
        <v>59757.555</v>
      </c>
      <c r="BD14" s="241">
        <v>129304.098</v>
      </c>
      <c r="BE14" s="244">
        <v>0</v>
      </c>
      <c r="BF14" s="241">
        <v>64679.245</v>
      </c>
      <c r="BG14" s="244"/>
      <c r="BH14" s="241">
        <v>118597.584</v>
      </c>
      <c r="BI14" s="244"/>
      <c r="BJ14" s="241">
        <v>924733.296</v>
      </c>
      <c r="BK14" s="241">
        <v>131250.502</v>
      </c>
      <c r="BL14" s="244">
        <v>103337.534</v>
      </c>
      <c r="BM14" s="244">
        <v>27912.968</v>
      </c>
      <c r="BN14" s="241">
        <v>52424.349</v>
      </c>
      <c r="BO14" s="241">
        <v>75781.211</v>
      </c>
      <c r="BP14" s="241">
        <v>35737.152</v>
      </c>
      <c r="BQ14" s="241">
        <v>36689.796</v>
      </c>
      <c r="BR14" s="241">
        <v>354.959</v>
      </c>
      <c r="BS14" s="244">
        <v>354.959</v>
      </c>
      <c r="BT14" s="244">
        <v>0</v>
      </c>
      <c r="BU14" s="244">
        <v>0</v>
      </c>
      <c r="BV14" s="241">
        <v>26237.056</v>
      </c>
      <c r="BW14" s="241">
        <v>53452.387</v>
      </c>
      <c r="BX14" s="241">
        <v>9230.738</v>
      </c>
      <c r="BY14" s="244">
        <v>9230.738</v>
      </c>
      <c r="BZ14" s="241">
        <f>40851.423+33605.611</f>
        <v>74457.034</v>
      </c>
      <c r="CA14" s="244">
        <f>+BZ14-CB14</f>
        <v>0</v>
      </c>
      <c r="CB14" s="244">
        <v>74457.034</v>
      </c>
      <c r="CC14" s="241">
        <v>64317.455</v>
      </c>
      <c r="CD14" s="241">
        <v>13434.936</v>
      </c>
      <c r="CE14" s="244"/>
      <c r="CF14" s="241">
        <v>103017.043</v>
      </c>
      <c r="CG14" s="241">
        <v>60197.874</v>
      </c>
      <c r="CH14" s="241">
        <v>42158.69</v>
      </c>
      <c r="CI14" s="241">
        <v>33354.266</v>
      </c>
      <c r="CJ14" s="241">
        <v>40842.882</v>
      </c>
      <c r="CK14" s="241">
        <v>36249.22</v>
      </c>
      <c r="CL14" s="241">
        <v>33545.639</v>
      </c>
      <c r="CM14" s="241">
        <v>22800.509</v>
      </c>
      <c r="CN14" s="241">
        <v>18239.54</v>
      </c>
      <c r="CO14" s="241">
        <v>116567.437</v>
      </c>
      <c r="CP14" s="241">
        <v>0</v>
      </c>
      <c r="CQ14" s="244">
        <v>1134.906</v>
      </c>
      <c r="CR14" s="241">
        <v>40899.864</v>
      </c>
      <c r="CS14" s="241">
        <v>1414.696</v>
      </c>
      <c r="CT14" s="241"/>
      <c r="CV14" s="93">
        <f t="shared" si="0"/>
        <v>19065514.292999994</v>
      </c>
      <c r="CW14" s="93"/>
      <c r="CX14" s="93">
        <f t="shared" si="1"/>
        <v>8267515.793</v>
      </c>
      <c r="CY14" s="93">
        <f t="shared" si="2"/>
        <v>10797998.500000002</v>
      </c>
      <c r="CZ14" s="241"/>
      <c r="DA14" s="93"/>
    </row>
    <row r="15" spans="1:105" ht="12.75">
      <c r="A15" s="319" t="s">
        <v>446</v>
      </c>
      <c r="B15" s="241">
        <v>-4954.508</v>
      </c>
      <c r="C15" s="244"/>
      <c r="D15" s="241">
        <v>0</v>
      </c>
      <c r="E15" s="244">
        <v>0</v>
      </c>
      <c r="F15" s="244">
        <v>0</v>
      </c>
      <c r="G15" s="244">
        <v>0</v>
      </c>
      <c r="H15" s="244">
        <v>0</v>
      </c>
      <c r="I15" s="244"/>
      <c r="J15" s="241">
        <v>-58805.761</v>
      </c>
      <c r="K15" s="244"/>
      <c r="L15" s="241">
        <v>-16110.272</v>
      </c>
      <c r="M15" s="244">
        <v>-16110.272</v>
      </c>
      <c r="N15" s="244">
        <v>0</v>
      </c>
      <c r="O15" s="244"/>
      <c r="P15" s="241">
        <v>-958.874</v>
      </c>
      <c r="Q15" s="244"/>
      <c r="R15" s="241">
        <v>-15708.206</v>
      </c>
      <c r="S15" s="244"/>
      <c r="T15" s="241">
        <v>0</v>
      </c>
      <c r="U15" s="244"/>
      <c r="V15" s="241">
        <v>0</v>
      </c>
      <c r="W15" s="244">
        <v>0</v>
      </c>
      <c r="X15" s="244">
        <f>+V15-W15</f>
        <v>0</v>
      </c>
      <c r="Y15" s="241">
        <v>-547.111</v>
      </c>
      <c r="Z15" s="244"/>
      <c r="AA15" s="241">
        <v>-6595.501</v>
      </c>
      <c r="AB15" s="244"/>
      <c r="AC15" s="241">
        <v>-6959.292</v>
      </c>
      <c r="AD15" s="241">
        <v>-7269.743</v>
      </c>
      <c r="AE15" s="244"/>
      <c r="AF15" s="241">
        <v>0</v>
      </c>
      <c r="AG15" s="241">
        <v>-82806.184</v>
      </c>
      <c r="AH15" s="241">
        <v>-11637.626</v>
      </c>
      <c r="AI15" s="241">
        <v>0</v>
      </c>
      <c r="AJ15" s="244"/>
      <c r="AK15" s="241">
        <v>-3160.925</v>
      </c>
      <c r="AL15" s="244"/>
      <c r="AM15" s="241">
        <v>0</v>
      </c>
      <c r="AN15" s="244"/>
      <c r="AO15" s="241">
        <v>0</v>
      </c>
      <c r="AP15" s="244"/>
      <c r="AQ15" s="241">
        <v>0</v>
      </c>
      <c r="AR15" s="241">
        <v>-8145.349</v>
      </c>
      <c r="AS15" s="244"/>
      <c r="AT15" s="241">
        <v>0</v>
      </c>
      <c r="AU15" s="244"/>
      <c r="AV15" s="241">
        <v>0</v>
      </c>
      <c r="AW15" s="244"/>
      <c r="AX15" s="241">
        <v>0</v>
      </c>
      <c r="AY15" s="241">
        <v>0</v>
      </c>
      <c r="AZ15" s="244"/>
      <c r="BA15" s="241">
        <v>-3368.658</v>
      </c>
      <c r="BB15" s="241">
        <v>0</v>
      </c>
      <c r="BC15" s="244"/>
      <c r="BD15" s="241">
        <v>-5297.527</v>
      </c>
      <c r="BE15" s="244"/>
      <c r="BF15" s="241">
        <v>-35.319</v>
      </c>
      <c r="BG15" s="244"/>
      <c r="BH15" s="241">
        <v>-541.695</v>
      </c>
      <c r="BI15" s="244"/>
      <c r="BJ15" s="241">
        <v>0</v>
      </c>
      <c r="BK15" s="241">
        <v>0</v>
      </c>
      <c r="BL15" s="244">
        <v>0</v>
      </c>
      <c r="BM15" s="244">
        <v>0</v>
      </c>
      <c r="BN15" s="241">
        <v>0</v>
      </c>
      <c r="BO15" s="241">
        <v>0</v>
      </c>
      <c r="BP15" s="241">
        <v>-1162.846</v>
      </c>
      <c r="BQ15" s="241">
        <v>-403.944</v>
      </c>
      <c r="BR15" s="241">
        <v>0</v>
      </c>
      <c r="BS15" s="244">
        <v>0</v>
      </c>
      <c r="BT15" s="244">
        <v>0</v>
      </c>
      <c r="BU15" s="244"/>
      <c r="BV15" s="241">
        <v>0</v>
      </c>
      <c r="BW15" s="241">
        <v>0</v>
      </c>
      <c r="BX15" s="241">
        <v>0</v>
      </c>
      <c r="BY15" s="244"/>
      <c r="BZ15" s="241">
        <v>0</v>
      </c>
      <c r="CA15" s="244">
        <f>+BZ15-CB15</f>
        <v>0</v>
      </c>
      <c r="CB15" s="244">
        <v>0</v>
      </c>
      <c r="CC15" s="241">
        <v>-347.071</v>
      </c>
      <c r="CD15" s="241">
        <v>0</v>
      </c>
      <c r="CE15" s="244"/>
      <c r="CF15" s="241">
        <v>0</v>
      </c>
      <c r="CG15" s="241">
        <v>0</v>
      </c>
      <c r="CH15" s="241">
        <v>-468.986</v>
      </c>
      <c r="CI15" s="241">
        <v>1.343</v>
      </c>
      <c r="CJ15" s="241">
        <v>0</v>
      </c>
      <c r="CK15" s="241">
        <v>-1045.295</v>
      </c>
      <c r="CL15" s="241">
        <v>0</v>
      </c>
      <c r="CM15" s="241">
        <v>0</v>
      </c>
      <c r="CN15" s="241">
        <v>0</v>
      </c>
      <c r="CO15" s="241">
        <v>0</v>
      </c>
      <c r="CP15" s="241">
        <v>0</v>
      </c>
      <c r="CQ15" s="244"/>
      <c r="CR15" s="241">
        <v>0</v>
      </c>
      <c r="CS15" s="241">
        <v>0</v>
      </c>
      <c r="CT15" s="241"/>
      <c r="CV15" s="93">
        <f t="shared" si="0"/>
        <v>-236329.34999999995</v>
      </c>
      <c r="CW15" s="93"/>
      <c r="CX15" s="93">
        <f t="shared" si="1"/>
        <v>0</v>
      </c>
      <c r="CY15" s="93">
        <f t="shared" si="2"/>
        <v>-236329.34999999995</v>
      </c>
      <c r="CZ15" s="241"/>
      <c r="DA15" s="93"/>
    </row>
    <row r="16" spans="1:105" ht="15.75" customHeight="1">
      <c r="A16" s="319" t="s">
        <v>447</v>
      </c>
      <c r="B16" s="241">
        <v>1444.362</v>
      </c>
      <c r="C16" s="244"/>
      <c r="D16" s="241">
        <v>1607</v>
      </c>
      <c r="E16" s="244">
        <v>1557</v>
      </c>
      <c r="F16" s="244">
        <v>49</v>
      </c>
      <c r="G16" s="244">
        <v>0</v>
      </c>
      <c r="H16" s="244">
        <v>0</v>
      </c>
      <c r="I16" s="244"/>
      <c r="J16" s="241">
        <v>6896.301</v>
      </c>
      <c r="K16" s="244"/>
      <c r="L16" s="241">
        <v>2134.06</v>
      </c>
      <c r="M16" s="244">
        <v>2134.06</v>
      </c>
      <c r="N16" s="244">
        <v>0</v>
      </c>
      <c r="O16" s="244"/>
      <c r="P16" s="241">
        <v>1308.185</v>
      </c>
      <c r="Q16" s="244"/>
      <c r="R16" s="241">
        <v>2175.538</v>
      </c>
      <c r="S16" s="244"/>
      <c r="T16" s="241">
        <v>329.891</v>
      </c>
      <c r="U16" s="244"/>
      <c r="V16" s="241">
        <v>0</v>
      </c>
      <c r="W16" s="244">
        <v>0</v>
      </c>
      <c r="X16" s="244">
        <f>+V16-W16</f>
        <v>0</v>
      </c>
      <c r="Y16" s="241">
        <v>976.717</v>
      </c>
      <c r="Z16" s="244"/>
      <c r="AA16" s="241">
        <v>0</v>
      </c>
      <c r="AB16" s="244"/>
      <c r="AC16" s="241">
        <v>530.632</v>
      </c>
      <c r="AD16" s="241">
        <v>965.34</v>
      </c>
      <c r="AE16" s="244"/>
      <c r="AF16" s="241">
        <v>0</v>
      </c>
      <c r="AG16" s="241">
        <v>525.745</v>
      </c>
      <c r="AH16" s="241">
        <v>1785.318</v>
      </c>
      <c r="AI16" s="241">
        <v>102</v>
      </c>
      <c r="AJ16" s="244"/>
      <c r="AK16" s="241">
        <v>322.887</v>
      </c>
      <c r="AL16" s="244"/>
      <c r="AM16" s="241">
        <v>0</v>
      </c>
      <c r="AN16" s="244"/>
      <c r="AO16" s="241">
        <v>0</v>
      </c>
      <c r="AP16" s="244"/>
      <c r="AQ16" s="241">
        <v>121.856</v>
      </c>
      <c r="AR16" s="241">
        <v>1092.998</v>
      </c>
      <c r="AS16" s="244"/>
      <c r="AT16" s="241">
        <v>0</v>
      </c>
      <c r="AU16" s="244"/>
      <c r="AV16" s="241">
        <v>0</v>
      </c>
      <c r="AW16" s="244"/>
      <c r="AX16" s="241">
        <v>0</v>
      </c>
      <c r="AY16" s="241">
        <v>0</v>
      </c>
      <c r="AZ16" s="244"/>
      <c r="BA16" s="241">
        <v>0</v>
      </c>
      <c r="BB16" s="241">
        <v>0</v>
      </c>
      <c r="BC16" s="244"/>
      <c r="BD16" s="241">
        <v>182.859</v>
      </c>
      <c r="BE16" s="244"/>
      <c r="BF16" s="241">
        <v>0</v>
      </c>
      <c r="BG16" s="244"/>
      <c r="BH16" s="241">
        <v>0</v>
      </c>
      <c r="BI16" s="244"/>
      <c r="BJ16" s="241">
        <v>0</v>
      </c>
      <c r="BK16" s="241">
        <v>0</v>
      </c>
      <c r="BL16" s="244">
        <v>0</v>
      </c>
      <c r="BM16" s="244">
        <v>0</v>
      </c>
      <c r="BN16" s="241">
        <v>0</v>
      </c>
      <c r="BO16" s="241">
        <v>0</v>
      </c>
      <c r="BP16" s="241">
        <v>0</v>
      </c>
      <c r="BQ16" s="241">
        <v>57.257</v>
      </c>
      <c r="BR16" s="241">
        <v>0</v>
      </c>
      <c r="BS16" s="244">
        <v>0</v>
      </c>
      <c r="BT16" s="244">
        <v>0</v>
      </c>
      <c r="BU16" s="244"/>
      <c r="BV16" s="241">
        <v>17.213</v>
      </c>
      <c r="BW16" s="241">
        <v>0</v>
      </c>
      <c r="BX16" s="241">
        <v>0</v>
      </c>
      <c r="BY16" s="244"/>
      <c r="BZ16" s="241">
        <v>0</v>
      </c>
      <c r="CA16" s="244">
        <f>+BZ16-CB16</f>
        <v>0</v>
      </c>
      <c r="CB16" s="244">
        <v>0</v>
      </c>
      <c r="CC16" s="241">
        <v>5.991</v>
      </c>
      <c r="CD16" s="241">
        <v>0</v>
      </c>
      <c r="CE16" s="244"/>
      <c r="CF16" s="241">
        <v>0</v>
      </c>
      <c r="CG16" s="241">
        <v>0</v>
      </c>
      <c r="CH16" s="241">
        <v>0</v>
      </c>
      <c r="CI16" s="241">
        <v>0</v>
      </c>
      <c r="CJ16" s="241">
        <v>23.636</v>
      </c>
      <c r="CK16" s="241">
        <v>0</v>
      </c>
      <c r="CL16" s="241">
        <v>0</v>
      </c>
      <c r="CM16" s="241">
        <v>3.994</v>
      </c>
      <c r="CN16" s="241">
        <v>0</v>
      </c>
      <c r="CO16" s="241">
        <v>0</v>
      </c>
      <c r="CP16" s="241">
        <v>0</v>
      </c>
      <c r="CQ16" s="244"/>
      <c r="CR16" s="241">
        <v>0</v>
      </c>
      <c r="CS16" s="241">
        <v>0</v>
      </c>
      <c r="CT16" s="241"/>
      <c r="CV16" s="93">
        <f t="shared" si="0"/>
        <v>22609.78</v>
      </c>
      <c r="CW16" s="93"/>
      <c r="CX16" s="93">
        <f t="shared" si="1"/>
        <v>1756.4859999999999</v>
      </c>
      <c r="CY16" s="93">
        <f t="shared" si="2"/>
        <v>20853.293999999998</v>
      </c>
      <c r="CZ16" s="241"/>
      <c r="DA16" s="93"/>
    </row>
    <row r="17" spans="1:105" ht="12.75">
      <c r="A17" s="319" t="s">
        <v>448</v>
      </c>
      <c r="B17" s="241">
        <v>0</v>
      </c>
      <c r="C17" s="244"/>
      <c r="D17" s="241">
        <v>0</v>
      </c>
      <c r="E17" s="244">
        <v>0</v>
      </c>
      <c r="F17" s="244">
        <v>0</v>
      </c>
      <c r="G17" s="244">
        <v>0</v>
      </c>
      <c r="H17" s="244">
        <v>0</v>
      </c>
      <c r="I17" s="244"/>
      <c r="J17" s="241">
        <v>0</v>
      </c>
      <c r="K17" s="244"/>
      <c r="L17" s="241">
        <v>0</v>
      </c>
      <c r="M17" s="244">
        <v>0</v>
      </c>
      <c r="N17" s="244">
        <v>0</v>
      </c>
      <c r="O17" s="244"/>
      <c r="P17" s="241">
        <v>0</v>
      </c>
      <c r="Q17" s="244"/>
      <c r="R17" s="241">
        <v>0</v>
      </c>
      <c r="S17" s="244"/>
      <c r="T17" s="241">
        <v>0</v>
      </c>
      <c r="U17" s="244"/>
      <c r="V17" s="241">
        <v>0</v>
      </c>
      <c r="W17" s="244">
        <v>0</v>
      </c>
      <c r="X17" s="244">
        <f>+V17-W17</f>
        <v>0</v>
      </c>
      <c r="Y17" s="241">
        <v>0</v>
      </c>
      <c r="Z17" s="244"/>
      <c r="AA17" s="241">
        <v>0</v>
      </c>
      <c r="AB17" s="244"/>
      <c r="AC17" s="241">
        <v>0</v>
      </c>
      <c r="AD17" s="241">
        <v>0</v>
      </c>
      <c r="AE17" s="244"/>
      <c r="AF17" s="241">
        <v>0</v>
      </c>
      <c r="AG17" s="241">
        <v>0</v>
      </c>
      <c r="AH17" s="241">
        <v>0</v>
      </c>
      <c r="AI17" s="241">
        <v>0</v>
      </c>
      <c r="AJ17" s="244"/>
      <c r="AK17" s="241">
        <v>0</v>
      </c>
      <c r="AL17" s="244"/>
      <c r="AM17" s="241">
        <v>0</v>
      </c>
      <c r="AN17" s="244"/>
      <c r="AO17" s="241">
        <v>0</v>
      </c>
      <c r="AP17" s="244"/>
      <c r="AQ17" s="241">
        <v>0</v>
      </c>
      <c r="AR17" s="241">
        <v>0</v>
      </c>
      <c r="AS17" s="244"/>
      <c r="AT17" s="241">
        <v>0</v>
      </c>
      <c r="AU17" s="244"/>
      <c r="AV17" s="241">
        <v>0</v>
      </c>
      <c r="AW17" s="244"/>
      <c r="AX17" s="241">
        <v>0</v>
      </c>
      <c r="AY17" s="241">
        <v>0</v>
      </c>
      <c r="AZ17" s="244"/>
      <c r="BA17" s="241">
        <v>0</v>
      </c>
      <c r="BB17" s="241">
        <v>0</v>
      </c>
      <c r="BC17" s="244"/>
      <c r="BD17" s="241">
        <v>0</v>
      </c>
      <c r="BE17" s="244"/>
      <c r="BF17" s="241">
        <v>0</v>
      </c>
      <c r="BG17" s="244"/>
      <c r="BH17" s="241">
        <v>0</v>
      </c>
      <c r="BI17" s="244"/>
      <c r="BJ17" s="241">
        <v>0</v>
      </c>
      <c r="BK17" s="241">
        <v>0</v>
      </c>
      <c r="BL17" s="244">
        <v>0</v>
      </c>
      <c r="BM17" s="244">
        <v>0</v>
      </c>
      <c r="BN17" s="241">
        <v>0</v>
      </c>
      <c r="BO17" s="241">
        <v>0</v>
      </c>
      <c r="BP17" s="241">
        <v>0</v>
      </c>
      <c r="BQ17" s="241">
        <v>0</v>
      </c>
      <c r="BR17" s="241">
        <v>0</v>
      </c>
      <c r="BS17" s="244">
        <v>0</v>
      </c>
      <c r="BT17" s="244">
        <v>0</v>
      </c>
      <c r="BU17" s="244"/>
      <c r="BV17" s="241">
        <v>0</v>
      </c>
      <c r="BW17" s="241">
        <v>0</v>
      </c>
      <c r="BX17" s="241">
        <v>0</v>
      </c>
      <c r="BY17" s="244"/>
      <c r="BZ17" s="241">
        <v>0</v>
      </c>
      <c r="CA17" s="244">
        <f>+BZ17-CB17</f>
        <v>0</v>
      </c>
      <c r="CB17" s="244">
        <v>0</v>
      </c>
      <c r="CC17" s="241">
        <v>0</v>
      </c>
      <c r="CD17" s="241">
        <v>0</v>
      </c>
      <c r="CE17" s="244"/>
      <c r="CF17" s="241">
        <v>0</v>
      </c>
      <c r="CG17" s="241">
        <v>0</v>
      </c>
      <c r="CH17" s="241">
        <v>0</v>
      </c>
      <c r="CI17" s="241">
        <v>0</v>
      </c>
      <c r="CJ17" s="241">
        <v>0</v>
      </c>
      <c r="CK17" s="241">
        <v>0</v>
      </c>
      <c r="CL17" s="241">
        <v>0</v>
      </c>
      <c r="CM17" s="241">
        <v>0</v>
      </c>
      <c r="CN17" s="241">
        <v>0</v>
      </c>
      <c r="CO17" s="241">
        <v>0</v>
      </c>
      <c r="CP17" s="241">
        <v>0</v>
      </c>
      <c r="CQ17" s="244"/>
      <c r="CR17" s="241">
        <v>0</v>
      </c>
      <c r="CS17" s="241">
        <v>0</v>
      </c>
      <c r="CT17" s="241"/>
      <c r="CV17" s="93">
        <f t="shared" si="0"/>
        <v>0</v>
      </c>
      <c r="CW17" s="93"/>
      <c r="CX17" s="93">
        <f t="shared" si="1"/>
        <v>0</v>
      </c>
      <c r="CY17" s="93">
        <f t="shared" si="2"/>
        <v>0</v>
      </c>
      <c r="CZ17" s="241"/>
      <c r="DA17" s="93"/>
    </row>
    <row r="18" spans="1:105" ht="5.25" customHeight="1">
      <c r="A18" s="319"/>
      <c r="CV18" s="93"/>
      <c r="CW18" s="93"/>
      <c r="CX18" s="93"/>
      <c r="CY18" s="93"/>
      <c r="DA18" s="93"/>
    </row>
    <row r="19" spans="1:105" ht="13.5">
      <c r="A19" s="321" t="s">
        <v>444</v>
      </c>
      <c r="B19" s="93">
        <f aca="true" t="shared" si="5" ref="B19:BM19">SUM(B14:B17)</f>
        <v>1561865.5280000002</v>
      </c>
      <c r="C19" s="219">
        <f>SUM(C14:C14)</f>
        <v>6145.27</v>
      </c>
      <c r="D19" s="93">
        <f t="shared" si="5"/>
        <v>6334895</v>
      </c>
      <c r="E19" s="219">
        <f>SUM(E14:E17)+1</f>
        <v>6116059</v>
      </c>
      <c r="F19" s="219">
        <f t="shared" si="5"/>
        <v>11482</v>
      </c>
      <c r="G19" s="219">
        <f t="shared" si="5"/>
        <v>180309</v>
      </c>
      <c r="H19" s="219">
        <f t="shared" si="5"/>
        <v>26437</v>
      </c>
      <c r="I19" s="219">
        <f>SUM(I14:I14)</f>
        <v>607</v>
      </c>
      <c r="J19" s="93">
        <f t="shared" si="5"/>
        <v>1486244.251</v>
      </c>
      <c r="K19" s="219">
        <f>SUM(K14:K14)</f>
        <v>1862.675</v>
      </c>
      <c r="L19" s="93">
        <f t="shared" si="5"/>
        <v>1031280.6930000001</v>
      </c>
      <c r="M19" s="219">
        <f t="shared" si="5"/>
        <v>1029644.741</v>
      </c>
      <c r="N19" s="219">
        <f t="shared" si="5"/>
        <v>0</v>
      </c>
      <c r="O19" s="219">
        <f>SUM(O14:O14)</f>
        <v>1636</v>
      </c>
      <c r="P19" s="93">
        <f t="shared" si="5"/>
        <v>869400.3010000001</v>
      </c>
      <c r="Q19" s="219">
        <f>SUM(Q14:Q14)</f>
        <v>0</v>
      </c>
      <c r="R19" s="93">
        <f t="shared" si="5"/>
        <v>492050.20399999997</v>
      </c>
      <c r="S19" s="219">
        <f>SUM(S14:S14)</f>
        <v>0</v>
      </c>
      <c r="T19" s="93">
        <f t="shared" si="5"/>
        <v>170729.34</v>
      </c>
      <c r="U19" s="219">
        <f>SUM(U14:U14)</f>
        <v>0</v>
      </c>
      <c r="V19" s="93">
        <f t="shared" si="5"/>
        <v>449000.636</v>
      </c>
      <c r="W19" s="219">
        <f t="shared" si="5"/>
        <v>437515.737</v>
      </c>
      <c r="X19" s="219">
        <f t="shared" si="5"/>
        <v>11484.898999999976</v>
      </c>
      <c r="Y19" s="93">
        <f>SUM(Y14:Y17)</f>
        <v>149706.29</v>
      </c>
      <c r="Z19" s="219">
        <f>SUM(Z14:Z14)</f>
        <v>0</v>
      </c>
      <c r="AA19" s="93">
        <f t="shared" si="5"/>
        <v>635968.725</v>
      </c>
      <c r="AB19" s="219">
        <f>SUM(AB14:AB14)</f>
        <v>5905.043</v>
      </c>
      <c r="AC19" s="93">
        <f t="shared" si="5"/>
        <v>269976.551</v>
      </c>
      <c r="AD19" s="93">
        <f t="shared" si="5"/>
        <v>249312.13</v>
      </c>
      <c r="AE19" s="219">
        <f>SUM(AE14:AE14)</f>
        <v>0</v>
      </c>
      <c r="AF19" s="93">
        <f>SUM(AF14:AF17)</f>
        <v>171016</v>
      </c>
      <c r="AG19" s="93">
        <f t="shared" si="5"/>
        <v>463726.34199999995</v>
      </c>
      <c r="AH19" s="93">
        <f>SUM(AH14:AH17)</f>
        <v>357314.64600000007</v>
      </c>
      <c r="AI19" s="93">
        <f t="shared" si="5"/>
        <v>115234.605</v>
      </c>
      <c r="AJ19" s="219">
        <f>SUM(AJ14:AJ14)</f>
        <v>0</v>
      </c>
      <c r="AK19" s="93">
        <f t="shared" si="5"/>
        <v>217818.664</v>
      </c>
      <c r="AL19" s="219">
        <f>SUM(AL14:AL14)</f>
        <v>0</v>
      </c>
      <c r="AM19" s="93">
        <f t="shared" si="5"/>
        <v>87993.002</v>
      </c>
      <c r="AN19" s="219">
        <v>87993</v>
      </c>
      <c r="AO19" s="93">
        <f>SUM(AO14:AO17)</f>
        <v>69320.025</v>
      </c>
      <c r="AP19" s="219">
        <v>69320</v>
      </c>
      <c r="AQ19" s="93">
        <f>SUM(AQ14:AQ17)</f>
        <v>426362.47500000003</v>
      </c>
      <c r="AR19" s="93">
        <f t="shared" si="5"/>
        <v>222263.265</v>
      </c>
      <c r="AS19" s="219">
        <f>SUM(AS14:AS14)</f>
        <v>0</v>
      </c>
      <c r="AT19" s="93">
        <f t="shared" si="5"/>
        <v>203728.866</v>
      </c>
      <c r="AU19" s="219">
        <f>SUM(AU14:AU14)</f>
        <v>0</v>
      </c>
      <c r="AV19" s="93">
        <f>SUM(AV14:AV17)</f>
        <v>79447</v>
      </c>
      <c r="AW19" s="219">
        <f>SUM(AW14:AW14)</f>
        <v>78998</v>
      </c>
      <c r="AX19" s="93">
        <f t="shared" si="5"/>
        <v>177790.261</v>
      </c>
      <c r="AY19" s="93">
        <f t="shared" si="5"/>
        <v>32331.065</v>
      </c>
      <c r="AZ19" s="219">
        <v>22876.281</v>
      </c>
      <c r="BA19" s="93">
        <f t="shared" si="5"/>
        <v>116302.235</v>
      </c>
      <c r="BB19" s="93">
        <f t="shared" si="5"/>
        <v>59757.555</v>
      </c>
      <c r="BC19" s="219">
        <f t="shared" si="5"/>
        <v>59757.555</v>
      </c>
      <c r="BD19" s="93">
        <f t="shared" si="5"/>
        <v>124189.43</v>
      </c>
      <c r="BE19" s="219">
        <f>SUM(BE14:BE14)</f>
        <v>0</v>
      </c>
      <c r="BF19" s="93">
        <f>SUM(BF14:BF17)</f>
        <v>64643.926</v>
      </c>
      <c r="BG19" s="219"/>
      <c r="BH19" s="93">
        <f>SUM(BH14:BH17)</f>
        <v>118055.889</v>
      </c>
      <c r="BI19" s="219"/>
      <c r="BJ19" s="93">
        <f t="shared" si="5"/>
        <v>924733.296</v>
      </c>
      <c r="BK19" s="93">
        <f t="shared" si="5"/>
        <v>131250.502</v>
      </c>
      <c r="BL19" s="219">
        <f t="shared" si="5"/>
        <v>103337.534</v>
      </c>
      <c r="BM19" s="219">
        <f t="shared" si="5"/>
        <v>27912.968</v>
      </c>
      <c r="BN19" s="93">
        <f aca="true" t="shared" si="6" ref="BN19:CR19">SUM(BN14:BN17)</f>
        <v>52424.349</v>
      </c>
      <c r="BO19" s="93">
        <f>SUM(BO14:BO17)</f>
        <v>75781.211</v>
      </c>
      <c r="BP19" s="93">
        <f t="shared" si="6"/>
        <v>34574.306000000004</v>
      </c>
      <c r="BQ19" s="93">
        <f t="shared" si="6"/>
        <v>36343.109</v>
      </c>
      <c r="BR19" s="93">
        <f>SUM(BR14:BR17)</f>
        <v>354.959</v>
      </c>
      <c r="BS19" s="219">
        <f>SUM(BS14:BS17)</f>
        <v>354.959</v>
      </c>
      <c r="BT19" s="219">
        <f>SUM(BT14:BT17)</f>
        <v>0</v>
      </c>
      <c r="BU19" s="219">
        <f>SUM(BU14:BU14)</f>
        <v>0</v>
      </c>
      <c r="BV19" s="93">
        <f>SUM(BV14:BV17)</f>
        <v>26254.269</v>
      </c>
      <c r="BW19" s="93">
        <f t="shared" si="6"/>
        <v>53452.387</v>
      </c>
      <c r="BX19" s="93">
        <f>SUM(BX14:BX17)</f>
        <v>9230.738</v>
      </c>
      <c r="BY19" s="219">
        <f>SUM(BY14:BY14)</f>
        <v>9230.738</v>
      </c>
      <c r="BZ19" s="93">
        <f>SUM(BZ14:BZ17)</f>
        <v>74457.034</v>
      </c>
      <c r="CA19" s="219">
        <f>SUM(CA14:CA17)</f>
        <v>0</v>
      </c>
      <c r="CB19" s="219">
        <f>SUM(CB14:CB17)</f>
        <v>74457.034</v>
      </c>
      <c r="CC19" s="93">
        <f t="shared" si="6"/>
        <v>63976.375</v>
      </c>
      <c r="CD19" s="93">
        <f t="shared" si="6"/>
        <v>13434.936</v>
      </c>
      <c r="CE19" s="219">
        <v>13434.936</v>
      </c>
      <c r="CF19" s="93">
        <f t="shared" si="6"/>
        <v>103017.043</v>
      </c>
      <c r="CG19" s="93">
        <f t="shared" si="6"/>
        <v>60197.874</v>
      </c>
      <c r="CH19" s="93">
        <f t="shared" si="6"/>
        <v>41689.704000000005</v>
      </c>
      <c r="CI19" s="93">
        <f t="shared" si="6"/>
        <v>33355.609000000004</v>
      </c>
      <c r="CJ19" s="93">
        <f>SUM(CJ14:CJ17)</f>
        <v>40866.518</v>
      </c>
      <c r="CK19" s="93">
        <f t="shared" si="6"/>
        <v>35203.925</v>
      </c>
      <c r="CL19" s="93">
        <f t="shared" si="6"/>
        <v>33545.639</v>
      </c>
      <c r="CM19" s="93">
        <f t="shared" si="6"/>
        <v>22804.502999999997</v>
      </c>
      <c r="CN19" s="93">
        <f t="shared" si="6"/>
        <v>18239.54</v>
      </c>
      <c r="CO19" s="93">
        <f t="shared" si="6"/>
        <v>116567.437</v>
      </c>
      <c r="CP19" s="93">
        <f>SUM(CP14:CP17)</f>
        <v>0</v>
      </c>
      <c r="CQ19" s="219">
        <f>SUM(CQ14:CQ14)</f>
        <v>1134.906</v>
      </c>
      <c r="CR19" s="93">
        <f t="shared" si="6"/>
        <v>40899.864</v>
      </c>
      <c r="CS19" s="93">
        <f>SUM(CS14:CS17)</f>
        <v>1414.696</v>
      </c>
      <c r="CT19" s="93"/>
      <c r="CV19" s="93">
        <f t="shared" si="0"/>
        <v>18851794.723</v>
      </c>
      <c r="CW19" s="93"/>
      <c r="CX19" s="93">
        <f t="shared" si="1"/>
        <v>8269272.278999999</v>
      </c>
      <c r="CY19" s="93">
        <f t="shared" si="2"/>
        <v>10582522.444</v>
      </c>
      <c r="CZ19" s="93"/>
      <c r="DA19" s="93"/>
    </row>
    <row r="20" spans="1:105" ht="6" customHeight="1">
      <c r="A20" s="321"/>
      <c r="CV20" s="93"/>
      <c r="CW20" s="93"/>
      <c r="CX20" s="93"/>
      <c r="CY20" s="93"/>
      <c r="CZ20" s="93"/>
      <c r="DA20" s="93"/>
    </row>
    <row r="21" spans="1:105" ht="12.75">
      <c r="A21" s="318" t="s">
        <v>449</v>
      </c>
      <c r="CV21" s="93"/>
      <c r="CW21" s="93"/>
      <c r="CX21" s="93"/>
      <c r="CY21" s="93"/>
      <c r="DA21" s="93"/>
    </row>
    <row r="22" spans="1:105" ht="12.75">
      <c r="A22" s="319" t="s">
        <v>450</v>
      </c>
      <c r="B22" s="241">
        <v>0</v>
      </c>
      <c r="C22" s="244">
        <v>0</v>
      </c>
      <c r="D22" s="241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1">
        <v>0</v>
      </c>
      <c r="K22" s="244">
        <v>0</v>
      </c>
      <c r="L22" s="241">
        <v>0</v>
      </c>
      <c r="M22" s="244">
        <v>0</v>
      </c>
      <c r="N22" s="244">
        <v>0</v>
      </c>
      <c r="O22" s="244">
        <v>0</v>
      </c>
      <c r="P22" s="241">
        <v>0</v>
      </c>
      <c r="Q22" s="244">
        <v>0</v>
      </c>
      <c r="R22" s="241">
        <v>0</v>
      </c>
      <c r="S22" s="244"/>
      <c r="T22" s="241">
        <v>0</v>
      </c>
      <c r="U22" s="244">
        <v>0</v>
      </c>
      <c r="V22" s="241">
        <v>0</v>
      </c>
      <c r="W22" s="244">
        <v>0</v>
      </c>
      <c r="X22" s="244">
        <f>+V22-W22</f>
        <v>0</v>
      </c>
      <c r="Y22" s="241">
        <v>0</v>
      </c>
      <c r="Z22" s="244"/>
      <c r="AA22" s="241">
        <v>0</v>
      </c>
      <c r="AB22" s="244"/>
      <c r="AC22" s="241">
        <v>0</v>
      </c>
      <c r="AD22" s="241">
        <v>0</v>
      </c>
      <c r="AE22" s="244"/>
      <c r="AF22" s="241">
        <v>0</v>
      </c>
      <c r="AG22" s="241">
        <v>0</v>
      </c>
      <c r="AH22" s="241">
        <v>0</v>
      </c>
      <c r="AI22" s="241">
        <v>0</v>
      </c>
      <c r="AJ22" s="244">
        <v>0</v>
      </c>
      <c r="AK22" s="241">
        <v>0</v>
      </c>
      <c r="AL22" s="244">
        <v>0</v>
      </c>
      <c r="AM22" s="241">
        <v>0</v>
      </c>
      <c r="AN22" s="244"/>
      <c r="AO22" s="241">
        <v>0</v>
      </c>
      <c r="AP22" s="244"/>
      <c r="AQ22" s="241">
        <v>0</v>
      </c>
      <c r="AR22" s="241">
        <v>0</v>
      </c>
      <c r="AS22" s="244">
        <v>0</v>
      </c>
      <c r="AT22" s="241">
        <v>0</v>
      </c>
      <c r="AU22" s="244">
        <v>0</v>
      </c>
      <c r="AV22" s="241">
        <v>0</v>
      </c>
      <c r="AW22" s="244"/>
      <c r="AX22" s="241">
        <v>0</v>
      </c>
      <c r="AY22" s="241">
        <v>0</v>
      </c>
      <c r="AZ22" s="244"/>
      <c r="BA22" s="241">
        <v>0</v>
      </c>
      <c r="BB22" s="241">
        <v>0</v>
      </c>
      <c r="BC22" s="244">
        <v>0</v>
      </c>
      <c r="BD22" s="241">
        <v>0</v>
      </c>
      <c r="BE22" s="244"/>
      <c r="BF22" s="241">
        <v>0</v>
      </c>
      <c r="BG22" s="244"/>
      <c r="BH22" s="241">
        <v>0</v>
      </c>
      <c r="BI22" s="244"/>
      <c r="BJ22" s="241">
        <v>0</v>
      </c>
      <c r="BK22" s="241">
        <v>0</v>
      </c>
      <c r="BL22" s="244">
        <v>0</v>
      </c>
      <c r="BM22" s="244">
        <v>0</v>
      </c>
      <c r="BN22" s="241">
        <v>0</v>
      </c>
      <c r="BO22" s="241">
        <v>0</v>
      </c>
      <c r="BP22" s="241">
        <v>0</v>
      </c>
      <c r="BQ22" s="241">
        <v>0</v>
      </c>
      <c r="BR22" s="241">
        <v>0</v>
      </c>
      <c r="BS22" s="244">
        <v>0</v>
      </c>
      <c r="BT22" s="244">
        <v>0</v>
      </c>
      <c r="BU22" s="244">
        <v>0</v>
      </c>
      <c r="BV22" s="241">
        <v>0</v>
      </c>
      <c r="BW22" s="241">
        <v>0</v>
      </c>
      <c r="BX22" s="241">
        <v>0</v>
      </c>
      <c r="BY22" s="244">
        <v>0</v>
      </c>
      <c r="BZ22" s="241">
        <v>0</v>
      </c>
      <c r="CA22" s="244">
        <f aca="true" t="shared" si="7" ref="CA22:CA31">+BZ22-CB22</f>
        <v>0</v>
      </c>
      <c r="CB22" s="244">
        <v>0</v>
      </c>
      <c r="CC22" s="241">
        <v>0</v>
      </c>
      <c r="CD22" s="241">
        <v>0</v>
      </c>
      <c r="CE22" s="244"/>
      <c r="CF22" s="241">
        <v>0</v>
      </c>
      <c r="CG22" s="241">
        <v>0</v>
      </c>
      <c r="CH22" s="241">
        <v>0</v>
      </c>
      <c r="CI22" s="241">
        <v>0</v>
      </c>
      <c r="CJ22" s="241">
        <v>0</v>
      </c>
      <c r="CK22" s="241">
        <v>0</v>
      </c>
      <c r="CL22" s="241">
        <v>0</v>
      </c>
      <c r="CM22" s="241">
        <v>0</v>
      </c>
      <c r="CN22" s="241">
        <v>0</v>
      </c>
      <c r="CO22" s="241">
        <v>0</v>
      </c>
      <c r="CP22" s="241">
        <v>0</v>
      </c>
      <c r="CQ22" s="244">
        <v>0</v>
      </c>
      <c r="CR22" s="241">
        <v>0</v>
      </c>
      <c r="CS22" s="241">
        <v>0</v>
      </c>
      <c r="CT22" s="241"/>
      <c r="CV22" s="93">
        <f t="shared" si="0"/>
        <v>0</v>
      </c>
      <c r="CW22" s="93"/>
      <c r="CX22" s="93">
        <f t="shared" si="1"/>
        <v>0</v>
      </c>
      <c r="CY22" s="93">
        <f t="shared" si="2"/>
        <v>0</v>
      </c>
      <c r="CZ22" s="241"/>
      <c r="DA22" s="93"/>
    </row>
    <row r="23" spans="1:105" ht="12.75">
      <c r="A23" s="319" t="s">
        <v>451</v>
      </c>
      <c r="B23" s="241">
        <v>0</v>
      </c>
      <c r="C23" s="244">
        <v>0</v>
      </c>
      <c r="D23" s="241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1">
        <v>0</v>
      </c>
      <c r="K23" s="244">
        <v>0</v>
      </c>
      <c r="L23" s="241">
        <v>0</v>
      </c>
      <c r="M23" s="244">
        <v>0</v>
      </c>
      <c r="N23" s="244">
        <v>0</v>
      </c>
      <c r="O23" s="244">
        <v>0</v>
      </c>
      <c r="P23" s="241">
        <v>0</v>
      </c>
      <c r="Q23" s="244">
        <v>0</v>
      </c>
      <c r="R23" s="241">
        <v>0</v>
      </c>
      <c r="S23" s="244"/>
      <c r="T23" s="241">
        <v>0</v>
      </c>
      <c r="U23" s="244">
        <v>0</v>
      </c>
      <c r="V23" s="241">
        <v>0</v>
      </c>
      <c r="W23" s="244">
        <v>0</v>
      </c>
      <c r="X23" s="244">
        <f aca="true" t="shared" si="8" ref="X23:X31">+V23-W23</f>
        <v>0</v>
      </c>
      <c r="Y23" s="241">
        <v>0</v>
      </c>
      <c r="Z23" s="244"/>
      <c r="AA23" s="241">
        <v>0</v>
      </c>
      <c r="AB23" s="244"/>
      <c r="AC23" s="241">
        <v>0</v>
      </c>
      <c r="AD23" s="241">
        <v>0</v>
      </c>
      <c r="AE23" s="244"/>
      <c r="AF23" s="241">
        <v>0</v>
      </c>
      <c r="AG23" s="241">
        <v>0</v>
      </c>
      <c r="AH23" s="241">
        <v>0</v>
      </c>
      <c r="AI23" s="241">
        <v>0</v>
      </c>
      <c r="AJ23" s="244">
        <v>0</v>
      </c>
      <c r="AK23" s="241">
        <v>0</v>
      </c>
      <c r="AL23" s="244">
        <v>0</v>
      </c>
      <c r="AM23" s="241">
        <v>0</v>
      </c>
      <c r="AN23" s="244"/>
      <c r="AO23" s="241">
        <v>0</v>
      </c>
      <c r="AP23" s="244"/>
      <c r="AQ23" s="241">
        <v>0</v>
      </c>
      <c r="AR23" s="241">
        <v>0</v>
      </c>
      <c r="AS23" s="244">
        <v>0</v>
      </c>
      <c r="AT23" s="241">
        <v>0</v>
      </c>
      <c r="AU23" s="244">
        <v>0</v>
      </c>
      <c r="AV23" s="241">
        <v>0</v>
      </c>
      <c r="AW23" s="244"/>
      <c r="AX23" s="241">
        <v>0</v>
      </c>
      <c r="AY23" s="241">
        <v>0</v>
      </c>
      <c r="AZ23" s="244"/>
      <c r="BA23" s="241">
        <v>0</v>
      </c>
      <c r="BB23" s="241">
        <v>0</v>
      </c>
      <c r="BC23" s="244">
        <v>0</v>
      </c>
      <c r="BD23" s="241">
        <v>0</v>
      </c>
      <c r="BE23" s="244"/>
      <c r="BF23" s="241">
        <v>0</v>
      </c>
      <c r="BG23" s="244"/>
      <c r="BH23" s="241">
        <v>0</v>
      </c>
      <c r="BI23" s="244"/>
      <c r="BJ23" s="241">
        <v>0</v>
      </c>
      <c r="BK23" s="241">
        <v>0</v>
      </c>
      <c r="BL23" s="244">
        <v>0</v>
      </c>
      <c r="BM23" s="244">
        <v>0</v>
      </c>
      <c r="BN23" s="241">
        <v>0</v>
      </c>
      <c r="BO23" s="241">
        <v>0</v>
      </c>
      <c r="BP23" s="241">
        <v>0</v>
      </c>
      <c r="BQ23" s="241">
        <v>0</v>
      </c>
      <c r="BR23" s="241">
        <v>0</v>
      </c>
      <c r="BS23" s="244">
        <v>0</v>
      </c>
      <c r="BT23" s="244">
        <v>0</v>
      </c>
      <c r="BU23" s="244">
        <v>0</v>
      </c>
      <c r="BV23" s="241">
        <v>0</v>
      </c>
      <c r="BW23" s="241">
        <v>0</v>
      </c>
      <c r="BX23" s="241">
        <v>0</v>
      </c>
      <c r="BY23" s="244">
        <v>0</v>
      </c>
      <c r="BZ23" s="241">
        <v>0</v>
      </c>
      <c r="CA23" s="244">
        <f t="shared" si="7"/>
        <v>0</v>
      </c>
      <c r="CB23" s="244">
        <v>0</v>
      </c>
      <c r="CC23" s="241">
        <v>0</v>
      </c>
      <c r="CD23" s="241">
        <v>0</v>
      </c>
      <c r="CE23" s="244"/>
      <c r="CF23" s="241">
        <v>0</v>
      </c>
      <c r="CG23" s="241">
        <v>0</v>
      </c>
      <c r="CH23" s="241">
        <v>0</v>
      </c>
      <c r="CI23" s="241">
        <v>0</v>
      </c>
      <c r="CJ23" s="241">
        <v>0</v>
      </c>
      <c r="CK23" s="241">
        <v>0</v>
      </c>
      <c r="CL23" s="241">
        <v>0</v>
      </c>
      <c r="CM23" s="241">
        <v>0</v>
      </c>
      <c r="CN23" s="241">
        <v>0</v>
      </c>
      <c r="CO23" s="241">
        <v>0</v>
      </c>
      <c r="CP23" s="241">
        <v>0</v>
      </c>
      <c r="CQ23" s="244">
        <v>0</v>
      </c>
      <c r="CR23" s="241">
        <v>0</v>
      </c>
      <c r="CS23" s="241">
        <v>0</v>
      </c>
      <c r="CT23" s="241"/>
      <c r="CV23" s="93">
        <f t="shared" si="0"/>
        <v>0</v>
      </c>
      <c r="CW23" s="93"/>
      <c r="CX23" s="93">
        <f t="shared" si="1"/>
        <v>0</v>
      </c>
      <c r="CY23" s="93">
        <f t="shared" si="2"/>
        <v>0</v>
      </c>
      <c r="CZ23" s="241"/>
      <c r="DA23" s="93"/>
    </row>
    <row r="24" spans="1:105" ht="12.75">
      <c r="A24" s="319" t="s">
        <v>452</v>
      </c>
      <c r="B24" s="241">
        <v>-1064216.908</v>
      </c>
      <c r="C24" s="244">
        <v>0</v>
      </c>
      <c r="D24" s="241">
        <v>-1307873</v>
      </c>
      <c r="E24" s="244">
        <v>-923535</v>
      </c>
      <c r="F24" s="244">
        <v>-342801</v>
      </c>
      <c r="G24" s="244">
        <v>0</v>
      </c>
      <c r="H24" s="244">
        <v>0</v>
      </c>
      <c r="I24" s="244">
        <v>-41536</v>
      </c>
      <c r="J24" s="241">
        <v>-1273279.301</v>
      </c>
      <c r="K24" s="244">
        <v>1225.842</v>
      </c>
      <c r="L24" s="241">
        <v>-502319.442</v>
      </c>
      <c r="M24" s="244">
        <v>-502319.442</v>
      </c>
      <c r="N24" s="244">
        <v>0</v>
      </c>
      <c r="O24" s="244">
        <v>0</v>
      </c>
      <c r="P24" s="241">
        <v>-447554.222</v>
      </c>
      <c r="Q24" s="244">
        <v>0</v>
      </c>
      <c r="R24" s="241">
        <v>-704781.315</v>
      </c>
      <c r="S24" s="244"/>
      <c r="T24" s="241">
        <v>-449599.816</v>
      </c>
      <c r="U24" s="244">
        <v>-170.251</v>
      </c>
      <c r="V24" s="241">
        <v>23399.945</v>
      </c>
      <c r="W24" s="244">
        <v>19072.201</v>
      </c>
      <c r="X24" s="244">
        <f t="shared" si="8"/>
        <v>4327.743999999999</v>
      </c>
      <c r="Y24" s="241">
        <v>-353362.946</v>
      </c>
      <c r="Z24" s="244"/>
      <c r="AA24" s="241">
        <v>-270.196</v>
      </c>
      <c r="AB24" s="244"/>
      <c r="AC24" s="241">
        <v>21416.642</v>
      </c>
      <c r="AD24" s="241">
        <v>-735419.53</v>
      </c>
      <c r="AE24" s="244"/>
      <c r="AF24" s="241">
        <v>-361596</v>
      </c>
      <c r="AG24" s="241">
        <v>28996.16</v>
      </c>
      <c r="AH24" s="241">
        <v>609445.7</v>
      </c>
      <c r="AI24" s="241">
        <v>-858408.497</v>
      </c>
      <c r="AJ24" s="244">
        <v>-1697.538</v>
      </c>
      <c r="AK24" s="241">
        <v>-194518.986</v>
      </c>
      <c r="AL24" s="244">
        <v>0</v>
      </c>
      <c r="AM24" s="241">
        <v>28481.243</v>
      </c>
      <c r="AN24" s="244"/>
      <c r="AO24" s="241">
        <v>-4420.216</v>
      </c>
      <c r="AP24" s="244"/>
      <c r="AQ24" s="241">
        <v>-143824.936</v>
      </c>
      <c r="AR24" s="241">
        <v>-281294.785</v>
      </c>
      <c r="AS24" s="244">
        <v>-80.918</v>
      </c>
      <c r="AT24" s="241">
        <v>-16043.227</v>
      </c>
      <c r="AU24" s="244">
        <v>-9.648</v>
      </c>
      <c r="AV24" s="241">
        <v>-35722</v>
      </c>
      <c r="AW24" s="244"/>
      <c r="AX24" s="241">
        <v>-272588.304</v>
      </c>
      <c r="AY24" s="241">
        <v>-2766.266</v>
      </c>
      <c r="AZ24" s="244"/>
      <c r="BA24" s="241">
        <v>-48874.505</v>
      </c>
      <c r="BB24" s="241">
        <v>3507.142</v>
      </c>
      <c r="BC24" s="244">
        <v>3507.142</v>
      </c>
      <c r="BD24" s="241">
        <v>-32033.621</v>
      </c>
      <c r="BE24" s="244"/>
      <c r="BF24" s="241">
        <f>35787.421+126811.664</f>
        <v>162599.08500000002</v>
      </c>
      <c r="BG24" s="244"/>
      <c r="BH24" s="241">
        <f>25353.259-37978.114</f>
        <v>-12624.855000000003</v>
      </c>
      <c r="BI24" s="244"/>
      <c r="BJ24" s="241">
        <v>0</v>
      </c>
      <c r="BK24" s="241">
        <v>-289966.475</v>
      </c>
      <c r="BL24" s="244">
        <v>-289966.475</v>
      </c>
      <c r="BM24" s="244">
        <v>0</v>
      </c>
      <c r="BN24" s="241">
        <v>0</v>
      </c>
      <c r="BO24" s="241">
        <v>1643.022</v>
      </c>
      <c r="BP24" s="241">
        <v>4094.635</v>
      </c>
      <c r="BQ24" s="241">
        <v>-16522.82</v>
      </c>
      <c r="BR24" s="241">
        <f>-80.93-2752.995</f>
        <v>-2833.9249999999997</v>
      </c>
      <c r="BS24" s="244">
        <v>0</v>
      </c>
      <c r="BT24" s="244">
        <v>0</v>
      </c>
      <c r="BU24" s="244">
        <v>83.351</v>
      </c>
      <c r="BV24" s="241">
        <v>411.466</v>
      </c>
      <c r="BW24" s="241">
        <v>-2617.319</v>
      </c>
      <c r="BX24" s="241">
        <v>205.055</v>
      </c>
      <c r="BY24" s="244">
        <v>205.055</v>
      </c>
      <c r="BZ24" s="241">
        <v>-26010.097</v>
      </c>
      <c r="CA24" s="244">
        <f t="shared" si="7"/>
        <v>-3777.357</v>
      </c>
      <c r="CB24" s="244">
        <v>-22232.74</v>
      </c>
      <c r="CC24" s="241">
        <v>-4570.952</v>
      </c>
      <c r="CD24" s="241">
        <v>427.821</v>
      </c>
      <c r="CE24" s="244"/>
      <c r="CF24" s="241">
        <v>83.538</v>
      </c>
      <c r="CG24" s="241">
        <v>7190.85</v>
      </c>
      <c r="CH24" s="241">
        <v>0</v>
      </c>
      <c r="CI24" s="241">
        <v>81.034</v>
      </c>
      <c r="CJ24" s="241">
        <v>-10871.045</v>
      </c>
      <c r="CK24" s="241">
        <v>0</v>
      </c>
      <c r="CL24" s="241">
        <v>64.8</v>
      </c>
      <c r="CM24" s="241">
        <v>0</v>
      </c>
      <c r="CN24" s="241">
        <v>-3465.38</v>
      </c>
      <c r="CO24" s="241">
        <v>0</v>
      </c>
      <c r="CP24" s="241">
        <v>0</v>
      </c>
      <c r="CQ24" s="244">
        <v>0</v>
      </c>
      <c r="CR24" s="241">
        <v>0</v>
      </c>
      <c r="CS24" s="241">
        <v>0</v>
      </c>
      <c r="CT24" s="241"/>
      <c r="CV24" s="93">
        <f t="shared" si="0"/>
        <v>-8568202.749</v>
      </c>
      <c r="CW24" s="93"/>
      <c r="CX24" s="93">
        <f t="shared" si="1"/>
        <v>-1490221.3139999998</v>
      </c>
      <c r="CY24" s="93">
        <f t="shared" si="2"/>
        <v>-7077981.4350000005</v>
      </c>
      <c r="CZ24" s="241"/>
      <c r="DA24" s="93"/>
    </row>
    <row r="25" spans="1:105" ht="12.75">
      <c r="A25" s="319" t="s">
        <v>453</v>
      </c>
      <c r="B25" s="241">
        <v>977.956</v>
      </c>
      <c r="C25" s="244">
        <v>0</v>
      </c>
      <c r="D25" s="241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1">
        <v>1426.447</v>
      </c>
      <c r="K25" s="244">
        <v>0</v>
      </c>
      <c r="L25" s="241">
        <v>3996.767</v>
      </c>
      <c r="M25" s="244">
        <v>3996.767</v>
      </c>
      <c r="N25" s="244">
        <v>0</v>
      </c>
      <c r="O25" s="244">
        <v>0</v>
      </c>
      <c r="P25" s="241">
        <v>2007.38</v>
      </c>
      <c r="Q25" s="244">
        <v>0</v>
      </c>
      <c r="R25" s="241">
        <v>0</v>
      </c>
      <c r="S25" s="244"/>
      <c r="T25" s="241">
        <v>0</v>
      </c>
      <c r="U25" s="244">
        <v>0</v>
      </c>
      <c r="V25" s="241">
        <v>0</v>
      </c>
      <c r="W25" s="244">
        <v>0</v>
      </c>
      <c r="X25" s="244">
        <f t="shared" si="8"/>
        <v>0</v>
      </c>
      <c r="Y25" s="241">
        <v>0</v>
      </c>
      <c r="Z25" s="244"/>
      <c r="AA25" s="241">
        <v>-1057.044</v>
      </c>
      <c r="AB25" s="244"/>
      <c r="AC25" s="241">
        <v>0</v>
      </c>
      <c r="AD25" s="241">
        <v>653.951</v>
      </c>
      <c r="AE25" s="244"/>
      <c r="AF25" s="241">
        <v>0</v>
      </c>
      <c r="AG25" s="241">
        <v>0</v>
      </c>
      <c r="AH25" s="241">
        <v>0</v>
      </c>
      <c r="AI25" s="241">
        <v>0</v>
      </c>
      <c r="AJ25" s="244">
        <v>0</v>
      </c>
      <c r="AK25" s="241">
        <v>0</v>
      </c>
      <c r="AL25" s="244">
        <v>0</v>
      </c>
      <c r="AM25" s="241">
        <v>0</v>
      </c>
      <c r="AN25" s="244"/>
      <c r="AO25" s="241">
        <v>0</v>
      </c>
      <c r="AP25" s="244"/>
      <c r="AQ25" s="241">
        <v>0</v>
      </c>
      <c r="AR25" s="241">
        <v>0</v>
      </c>
      <c r="AS25" s="244">
        <v>0</v>
      </c>
      <c r="AT25" s="241">
        <v>0</v>
      </c>
      <c r="AU25" s="244">
        <v>0</v>
      </c>
      <c r="AV25" s="241">
        <v>0</v>
      </c>
      <c r="AW25" s="244"/>
      <c r="AX25" s="241">
        <v>0</v>
      </c>
      <c r="AY25" s="241">
        <v>0</v>
      </c>
      <c r="AZ25" s="244"/>
      <c r="BA25" s="241">
        <v>0</v>
      </c>
      <c r="BB25" s="241">
        <v>0</v>
      </c>
      <c r="BC25" s="244">
        <v>0</v>
      </c>
      <c r="BD25" s="241">
        <v>0</v>
      </c>
      <c r="BE25" s="244"/>
      <c r="BF25" s="241">
        <v>0</v>
      </c>
      <c r="BG25" s="244"/>
      <c r="BH25" s="241">
        <v>0</v>
      </c>
      <c r="BI25" s="244"/>
      <c r="BJ25" s="241">
        <v>0</v>
      </c>
      <c r="BK25" s="241">
        <v>0</v>
      </c>
      <c r="BL25" s="244">
        <v>0</v>
      </c>
      <c r="BM25" s="244">
        <v>0</v>
      </c>
      <c r="BN25" s="241">
        <v>0</v>
      </c>
      <c r="BO25" s="241">
        <v>0</v>
      </c>
      <c r="BP25" s="241">
        <v>0</v>
      </c>
      <c r="BQ25" s="241">
        <v>360</v>
      </c>
      <c r="BR25" s="241">
        <v>0</v>
      </c>
      <c r="BS25" s="244">
        <v>0</v>
      </c>
      <c r="BT25" s="244">
        <v>0</v>
      </c>
      <c r="BU25" s="244">
        <v>0</v>
      </c>
      <c r="BV25" s="241">
        <v>0</v>
      </c>
      <c r="BW25" s="241">
        <v>0</v>
      </c>
      <c r="BX25" s="241">
        <v>0</v>
      </c>
      <c r="BY25" s="244">
        <f>-51539.712+2006.38</f>
        <v>-49533.332</v>
      </c>
      <c r="BZ25" s="241">
        <v>0</v>
      </c>
      <c r="CA25" s="244">
        <f t="shared" si="7"/>
        <v>0</v>
      </c>
      <c r="CB25" s="244">
        <v>0</v>
      </c>
      <c r="CC25" s="241"/>
      <c r="CD25" s="241">
        <v>0</v>
      </c>
      <c r="CE25" s="244"/>
      <c r="CF25" s="241">
        <v>0</v>
      </c>
      <c r="CG25" s="241">
        <v>0</v>
      </c>
      <c r="CH25" s="241">
        <v>0</v>
      </c>
      <c r="CI25" s="241">
        <v>0</v>
      </c>
      <c r="CJ25" s="241">
        <v>0</v>
      </c>
      <c r="CK25" s="241">
        <v>0</v>
      </c>
      <c r="CL25" s="241">
        <v>0</v>
      </c>
      <c r="CM25" s="241">
        <v>161.145</v>
      </c>
      <c r="CN25" s="241">
        <v>0</v>
      </c>
      <c r="CO25" s="241">
        <v>0</v>
      </c>
      <c r="CP25" s="241">
        <v>0</v>
      </c>
      <c r="CQ25" s="244">
        <v>0</v>
      </c>
      <c r="CR25" s="241">
        <v>0</v>
      </c>
      <c r="CS25" s="241">
        <v>0</v>
      </c>
      <c r="CT25" s="241"/>
      <c r="CV25" s="93">
        <f t="shared" si="0"/>
        <v>8526.601999999999</v>
      </c>
      <c r="CW25" s="93"/>
      <c r="CX25" s="93">
        <f t="shared" si="1"/>
        <v>161.145</v>
      </c>
      <c r="CY25" s="93">
        <f t="shared" si="2"/>
        <v>8365.456999999999</v>
      </c>
      <c r="CZ25" s="241"/>
      <c r="DA25" s="93"/>
    </row>
    <row r="26" spans="1:105" ht="14.25" customHeight="1">
      <c r="A26" s="319" t="s">
        <v>454</v>
      </c>
      <c r="B26" s="241">
        <v>5418193.596</v>
      </c>
      <c r="C26" s="244">
        <v>0</v>
      </c>
      <c r="D26" s="241">
        <v>5254986</v>
      </c>
      <c r="E26" s="244">
        <v>4647630</v>
      </c>
      <c r="F26" s="244">
        <v>599448</v>
      </c>
      <c r="G26" s="244">
        <v>5679</v>
      </c>
      <c r="H26" s="244">
        <v>953</v>
      </c>
      <c r="I26" s="244">
        <v>1276</v>
      </c>
      <c r="J26" s="241">
        <v>3055380.237</v>
      </c>
      <c r="K26" s="244">
        <v>1808.546</v>
      </c>
      <c r="L26" s="241">
        <v>1997015.021</v>
      </c>
      <c r="M26" s="244">
        <v>1993686.905</v>
      </c>
      <c r="N26" s="244">
        <v>3690.255</v>
      </c>
      <c r="O26" s="244">
        <v>-362.139</v>
      </c>
      <c r="P26" s="241">
        <v>1954913.861</v>
      </c>
      <c r="Q26" s="244">
        <v>124.724</v>
      </c>
      <c r="R26" s="241">
        <f>971827.769+43958.52+11907.871+12455.586</f>
        <v>1040149.746</v>
      </c>
      <c r="S26" s="244"/>
      <c r="T26" s="241">
        <v>1517225.955</v>
      </c>
      <c r="U26" s="244">
        <v>0</v>
      </c>
      <c r="V26" s="241">
        <v>244641.169</v>
      </c>
      <c r="W26" s="244">
        <v>202550.563</v>
      </c>
      <c r="X26" s="244">
        <f t="shared" si="8"/>
        <v>42090.606</v>
      </c>
      <c r="Y26" s="241">
        <v>1050851.474</v>
      </c>
      <c r="Z26" s="244"/>
      <c r="AA26" s="241">
        <v>952865.163</v>
      </c>
      <c r="AB26" s="244"/>
      <c r="AC26" s="241">
        <v>25334.211</v>
      </c>
      <c r="AD26" s="241">
        <v>674143.683</v>
      </c>
      <c r="AE26" s="244"/>
      <c r="AF26" s="241">
        <v>343255</v>
      </c>
      <c r="AG26" s="241">
        <v>270025.175</v>
      </c>
      <c r="AH26" s="241">
        <v>-526767.416</v>
      </c>
      <c r="AI26" s="241">
        <v>475672.703</v>
      </c>
      <c r="AJ26" s="244">
        <v>3766</v>
      </c>
      <c r="AK26" s="241">
        <v>662566.374</v>
      </c>
      <c r="AL26" s="244">
        <v>279.629</v>
      </c>
      <c r="AM26" s="241">
        <v>280684.178</v>
      </c>
      <c r="AN26" s="244"/>
      <c r="AO26" s="241">
        <v>61270.448</v>
      </c>
      <c r="AP26" s="244"/>
      <c r="AQ26" s="241">
        <v>488327.386</v>
      </c>
      <c r="AR26" s="241">
        <v>403455.206</v>
      </c>
      <c r="AS26" s="244">
        <v>116.059</v>
      </c>
      <c r="AT26" s="241">
        <v>496339.172</v>
      </c>
      <c r="AU26" s="244">
        <v>47.79</v>
      </c>
      <c r="AV26" s="241">
        <v>-146096</v>
      </c>
      <c r="AW26" s="244"/>
      <c r="AX26" s="241">
        <v>435454.231</v>
      </c>
      <c r="AY26" s="241">
        <v>33735.592</v>
      </c>
      <c r="AZ26" s="244"/>
      <c r="BA26" s="241">
        <v>192317.015</v>
      </c>
      <c r="BB26" s="241">
        <v>-4464.04</v>
      </c>
      <c r="BC26" s="244">
        <f>-4464.04-2133.581</f>
        <v>-6597.621</v>
      </c>
      <c r="BD26" s="241">
        <v>282568.432</v>
      </c>
      <c r="BE26" s="244"/>
      <c r="BF26" s="241">
        <v>106093.739</v>
      </c>
      <c r="BG26" s="244"/>
      <c r="BH26" s="241">
        <f>249100.53+2671.52</f>
        <v>251772.05</v>
      </c>
      <c r="BI26" s="244"/>
      <c r="BJ26" s="241">
        <f>134948.345+10850.53</f>
        <v>145798.875</v>
      </c>
      <c r="BK26" s="241">
        <v>190333.36</v>
      </c>
      <c r="BL26" s="244">
        <v>179817.969</v>
      </c>
      <c r="BM26" s="244">
        <v>10515.391</v>
      </c>
      <c r="BN26" s="241">
        <v>31418.768</v>
      </c>
      <c r="BO26" s="241">
        <v>128656.505</v>
      </c>
      <c r="BP26" s="241">
        <v>-36590.51</v>
      </c>
      <c r="BQ26" s="241">
        <v>150635.689</v>
      </c>
      <c r="BR26" s="241">
        <f>11155.362+4717.373-76420.353+5749.578+887.116+20890.677</f>
        <v>-33020.247</v>
      </c>
      <c r="BS26" s="244">
        <v>-32798.109</v>
      </c>
      <c r="BT26" s="244">
        <v>-4338.218</v>
      </c>
      <c r="BU26" s="244">
        <f>+-420.715-510.495+52.49</f>
        <v>-878.72</v>
      </c>
      <c r="BV26" s="241">
        <v>-32240.105</v>
      </c>
      <c r="BW26" s="241">
        <v>84055.31</v>
      </c>
      <c r="BX26" s="241">
        <v>-51539.712</v>
      </c>
      <c r="BY26" s="244">
        <v>0</v>
      </c>
      <c r="BZ26" s="241">
        <v>87977.96</v>
      </c>
      <c r="CA26" s="244">
        <f t="shared" si="7"/>
        <v>2054.939000000013</v>
      </c>
      <c r="CB26" s="244">
        <v>85923.021</v>
      </c>
      <c r="CC26" s="241">
        <v>91588.334</v>
      </c>
      <c r="CD26" s="241">
        <v>-45539.558</v>
      </c>
      <c r="CE26" s="244"/>
      <c r="CF26" s="241">
        <v>77810.877</v>
      </c>
      <c r="CG26" s="241">
        <f>66928.712+66.763+473.08</f>
        <v>67468.55500000001</v>
      </c>
      <c r="CH26" s="241">
        <v>17281.625</v>
      </c>
      <c r="CI26" s="241">
        <v>43632.02</v>
      </c>
      <c r="CJ26" s="241">
        <v>30141.773</v>
      </c>
      <c r="CK26" s="241">
        <v>19918.014</v>
      </c>
      <c r="CL26" s="241">
        <f>46981.211-147.039</f>
        <v>46834.172000000006</v>
      </c>
      <c r="CM26" s="241">
        <v>21033.709</v>
      </c>
      <c r="CN26" s="241">
        <v>10884.939</v>
      </c>
      <c r="CO26" s="241">
        <v>9525.16</v>
      </c>
      <c r="CP26" s="241">
        <v>9544.407</v>
      </c>
      <c r="CQ26" s="244">
        <v>0</v>
      </c>
      <c r="CR26" s="241">
        <v>6446.457</v>
      </c>
      <c r="CS26" s="241">
        <f>289.236+17.251</f>
        <v>306.48699999999997</v>
      </c>
      <c r="CT26" s="241"/>
      <c r="CV26" s="93">
        <f t="shared" si="0"/>
        <v>28364272.224999983</v>
      </c>
      <c r="CW26" s="93"/>
      <c r="CX26" s="93">
        <f t="shared" si="1"/>
        <v>6282855.522</v>
      </c>
      <c r="CY26" s="93">
        <f t="shared" si="2"/>
        <v>22081416.70299999</v>
      </c>
      <c r="CZ26" s="241"/>
      <c r="DA26" s="93"/>
    </row>
    <row r="27" spans="1:105" ht="14.25" customHeight="1">
      <c r="A27" s="319" t="s">
        <v>455</v>
      </c>
      <c r="B27" s="241">
        <v>0</v>
      </c>
      <c r="C27" s="244">
        <v>0</v>
      </c>
      <c r="D27" s="241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1">
        <v>0</v>
      </c>
      <c r="K27" s="244">
        <v>0</v>
      </c>
      <c r="L27" s="241">
        <v>0</v>
      </c>
      <c r="M27" s="244">
        <v>0</v>
      </c>
      <c r="N27" s="244">
        <v>0</v>
      </c>
      <c r="O27" s="244">
        <v>0</v>
      </c>
      <c r="P27" s="241">
        <v>0</v>
      </c>
      <c r="Q27" s="244">
        <v>0</v>
      </c>
      <c r="R27" s="241">
        <v>0</v>
      </c>
      <c r="S27" s="244"/>
      <c r="T27" s="241">
        <v>0</v>
      </c>
      <c r="U27" s="244">
        <v>0</v>
      </c>
      <c r="V27" s="241">
        <v>0</v>
      </c>
      <c r="W27" s="244">
        <v>0</v>
      </c>
      <c r="X27" s="244">
        <f t="shared" si="8"/>
        <v>0</v>
      </c>
      <c r="Y27" s="241">
        <v>0</v>
      </c>
      <c r="Z27" s="244"/>
      <c r="AA27" s="241">
        <v>0</v>
      </c>
      <c r="AB27" s="244"/>
      <c r="AC27" s="241">
        <v>0</v>
      </c>
      <c r="AD27" s="241">
        <v>0</v>
      </c>
      <c r="AE27" s="244"/>
      <c r="AF27" s="241">
        <v>0</v>
      </c>
      <c r="AG27" s="241">
        <v>0</v>
      </c>
      <c r="AH27" s="241">
        <v>0</v>
      </c>
      <c r="AI27" s="241">
        <v>0</v>
      </c>
      <c r="AJ27" s="244">
        <v>0</v>
      </c>
      <c r="AK27" s="241">
        <v>0</v>
      </c>
      <c r="AL27" s="244">
        <v>0</v>
      </c>
      <c r="AM27" s="241">
        <v>0</v>
      </c>
      <c r="AN27" s="244"/>
      <c r="AO27" s="241">
        <v>0</v>
      </c>
      <c r="AP27" s="244"/>
      <c r="AQ27" s="241">
        <v>0</v>
      </c>
      <c r="AR27" s="241">
        <v>0</v>
      </c>
      <c r="AS27" s="244">
        <v>0</v>
      </c>
      <c r="AT27" s="241">
        <v>0</v>
      </c>
      <c r="AU27" s="244">
        <v>0</v>
      </c>
      <c r="AV27" s="241">
        <v>0</v>
      </c>
      <c r="AW27" s="244"/>
      <c r="AX27" s="241">
        <v>0</v>
      </c>
      <c r="AY27" s="241">
        <v>0</v>
      </c>
      <c r="AZ27" s="244"/>
      <c r="BA27" s="241">
        <v>0</v>
      </c>
      <c r="BB27" s="241">
        <v>0</v>
      </c>
      <c r="BC27" s="244">
        <v>0</v>
      </c>
      <c r="BD27" s="241">
        <v>0</v>
      </c>
      <c r="BE27" s="244"/>
      <c r="BF27" s="241"/>
      <c r="BG27" s="244"/>
      <c r="BH27" s="241">
        <v>0</v>
      </c>
      <c r="BI27" s="244"/>
      <c r="BJ27" s="241">
        <v>0</v>
      </c>
      <c r="BK27" s="241">
        <v>0</v>
      </c>
      <c r="BL27" s="244">
        <v>0</v>
      </c>
      <c r="BM27" s="244">
        <v>0</v>
      </c>
      <c r="BN27" s="241">
        <v>0</v>
      </c>
      <c r="BO27" s="241">
        <v>0</v>
      </c>
      <c r="BP27" s="241">
        <v>0</v>
      </c>
      <c r="BQ27" s="241">
        <v>-870.441</v>
      </c>
      <c r="BR27" s="241">
        <v>0</v>
      </c>
      <c r="BS27" s="244">
        <v>0</v>
      </c>
      <c r="BT27" s="244">
        <v>0</v>
      </c>
      <c r="BU27" s="244">
        <v>0</v>
      </c>
      <c r="BV27" s="241">
        <v>0</v>
      </c>
      <c r="BW27" s="241">
        <v>0</v>
      </c>
      <c r="BX27" s="241">
        <v>0</v>
      </c>
      <c r="BY27" s="244">
        <v>0</v>
      </c>
      <c r="BZ27" s="241">
        <v>0</v>
      </c>
      <c r="CA27" s="244">
        <f t="shared" si="7"/>
        <v>0</v>
      </c>
      <c r="CB27" s="244">
        <v>0</v>
      </c>
      <c r="CC27" s="241">
        <v>0</v>
      </c>
      <c r="CD27" s="241">
        <v>0</v>
      </c>
      <c r="CE27" s="244"/>
      <c r="CF27" s="241">
        <v>0</v>
      </c>
      <c r="CG27" s="241">
        <v>0</v>
      </c>
      <c r="CH27" s="241">
        <v>0</v>
      </c>
      <c r="CI27" s="241">
        <v>0</v>
      </c>
      <c r="CJ27" s="241">
        <v>0</v>
      </c>
      <c r="CK27" s="241">
        <v>0</v>
      </c>
      <c r="CL27" s="241">
        <v>0</v>
      </c>
      <c r="CM27" s="241">
        <v>0</v>
      </c>
      <c r="CN27" s="241">
        <v>0</v>
      </c>
      <c r="CO27" s="241">
        <v>0</v>
      </c>
      <c r="CP27" s="241">
        <v>0</v>
      </c>
      <c r="CQ27" s="244">
        <v>0</v>
      </c>
      <c r="CR27" s="241">
        <v>0</v>
      </c>
      <c r="CS27" s="241">
        <v>0</v>
      </c>
      <c r="CT27" s="241"/>
      <c r="CV27" s="93">
        <f t="shared" si="0"/>
        <v>-870.441</v>
      </c>
      <c r="CW27" s="93"/>
      <c r="CX27" s="93">
        <f t="shared" si="1"/>
        <v>0</v>
      </c>
      <c r="CY27" s="93">
        <f t="shared" si="2"/>
        <v>-870.441</v>
      </c>
      <c r="CZ27" s="241"/>
      <c r="DA27" s="93"/>
    </row>
    <row r="28" spans="1:105" ht="12.75">
      <c r="A28" s="319" t="s">
        <v>456</v>
      </c>
      <c r="B28" s="241">
        <v>0</v>
      </c>
      <c r="C28" s="244">
        <v>0</v>
      </c>
      <c r="D28" s="241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1">
        <v>10259.533</v>
      </c>
      <c r="K28" s="244">
        <v>0</v>
      </c>
      <c r="L28" s="241">
        <v>0</v>
      </c>
      <c r="M28" s="244">
        <v>0</v>
      </c>
      <c r="N28" s="244">
        <v>0</v>
      </c>
      <c r="O28" s="244">
        <v>0</v>
      </c>
      <c r="P28" s="241">
        <v>0</v>
      </c>
      <c r="Q28" s="244">
        <v>0</v>
      </c>
      <c r="R28" s="241">
        <v>0</v>
      </c>
      <c r="S28" s="244"/>
      <c r="T28" s="241">
        <v>0</v>
      </c>
      <c r="U28" s="244">
        <v>0</v>
      </c>
      <c r="V28" s="241">
        <v>0</v>
      </c>
      <c r="W28" s="244">
        <v>0</v>
      </c>
      <c r="X28" s="244">
        <f t="shared" si="8"/>
        <v>0</v>
      </c>
      <c r="Y28" s="241">
        <v>0</v>
      </c>
      <c r="Z28" s="244"/>
      <c r="AA28" s="241">
        <v>0</v>
      </c>
      <c r="AB28" s="244"/>
      <c r="AC28" s="241">
        <v>0</v>
      </c>
      <c r="AD28" s="241">
        <v>0</v>
      </c>
      <c r="AE28" s="244"/>
      <c r="AF28" s="241">
        <v>0</v>
      </c>
      <c r="AG28" s="241">
        <v>0</v>
      </c>
      <c r="AH28" s="241">
        <v>0</v>
      </c>
      <c r="AI28" s="241">
        <v>0</v>
      </c>
      <c r="AJ28" s="244">
        <v>0</v>
      </c>
      <c r="AK28" s="241">
        <v>0</v>
      </c>
      <c r="AL28" s="244">
        <v>0</v>
      </c>
      <c r="AM28" s="241">
        <v>0</v>
      </c>
      <c r="AN28" s="244"/>
      <c r="AO28" s="241">
        <v>0</v>
      </c>
      <c r="AP28" s="244"/>
      <c r="AQ28" s="241">
        <v>0</v>
      </c>
      <c r="AR28" s="241">
        <v>0</v>
      </c>
      <c r="AS28" s="244">
        <v>0</v>
      </c>
      <c r="AT28" s="241">
        <v>0</v>
      </c>
      <c r="AU28" s="244">
        <v>0</v>
      </c>
      <c r="AV28" s="241">
        <v>0</v>
      </c>
      <c r="AW28" s="244"/>
      <c r="AX28" s="241">
        <v>0</v>
      </c>
      <c r="AY28" s="241">
        <v>0</v>
      </c>
      <c r="AZ28" s="244"/>
      <c r="BA28" s="241">
        <v>0</v>
      </c>
      <c r="BB28" s="241">
        <v>0</v>
      </c>
      <c r="BC28" s="244">
        <v>0</v>
      </c>
      <c r="BD28" s="241">
        <v>0</v>
      </c>
      <c r="BE28" s="244"/>
      <c r="BF28" s="241">
        <v>0</v>
      </c>
      <c r="BG28" s="244"/>
      <c r="BH28" s="241">
        <v>0</v>
      </c>
      <c r="BI28" s="244"/>
      <c r="BJ28" s="241">
        <v>0</v>
      </c>
      <c r="BK28" s="241">
        <v>0</v>
      </c>
      <c r="BL28" s="244">
        <v>0</v>
      </c>
      <c r="BM28" s="244">
        <v>0</v>
      </c>
      <c r="BN28" s="241">
        <v>0</v>
      </c>
      <c r="BO28" s="241">
        <v>0</v>
      </c>
      <c r="BP28" s="241">
        <v>0</v>
      </c>
      <c r="BQ28" s="241">
        <v>0</v>
      </c>
      <c r="BR28" s="241">
        <v>0</v>
      </c>
      <c r="BS28" s="244">
        <v>0</v>
      </c>
      <c r="BT28" s="244">
        <v>0</v>
      </c>
      <c r="BU28" s="244">
        <v>0</v>
      </c>
      <c r="BV28" s="241">
        <v>0</v>
      </c>
      <c r="BW28" s="241">
        <v>0</v>
      </c>
      <c r="BX28" s="241">
        <v>0</v>
      </c>
      <c r="BY28" s="244">
        <v>0</v>
      </c>
      <c r="BZ28" s="241">
        <v>0</v>
      </c>
      <c r="CA28" s="244">
        <f t="shared" si="7"/>
        <v>0</v>
      </c>
      <c r="CB28" s="244">
        <v>0</v>
      </c>
      <c r="CC28" s="241">
        <v>0</v>
      </c>
      <c r="CD28" s="241">
        <v>0</v>
      </c>
      <c r="CE28" s="244"/>
      <c r="CF28" s="241">
        <v>0</v>
      </c>
      <c r="CG28" s="241">
        <v>0</v>
      </c>
      <c r="CH28" s="241">
        <v>0</v>
      </c>
      <c r="CI28" s="241">
        <v>0</v>
      </c>
      <c r="CJ28" s="241">
        <v>0</v>
      </c>
      <c r="CK28" s="241">
        <v>0</v>
      </c>
      <c r="CL28" s="241">
        <v>0</v>
      </c>
      <c r="CM28" s="241">
        <v>0</v>
      </c>
      <c r="CN28" s="241">
        <v>0</v>
      </c>
      <c r="CO28" s="241">
        <v>0</v>
      </c>
      <c r="CP28" s="241">
        <v>0</v>
      </c>
      <c r="CQ28" s="244">
        <v>0</v>
      </c>
      <c r="CR28" s="241">
        <v>0</v>
      </c>
      <c r="CS28" s="241">
        <v>0</v>
      </c>
      <c r="CT28" s="241"/>
      <c r="CV28" s="93">
        <f t="shared" si="0"/>
        <v>10259.533</v>
      </c>
      <c r="CW28" s="93"/>
      <c r="CX28" s="93">
        <f t="shared" si="1"/>
        <v>0</v>
      </c>
      <c r="CY28" s="93">
        <f t="shared" si="2"/>
        <v>10259.533</v>
      </c>
      <c r="CZ28" s="241"/>
      <c r="DA28" s="93"/>
    </row>
    <row r="29" spans="1:105" ht="12.75">
      <c r="A29" s="319" t="s">
        <v>457</v>
      </c>
      <c r="B29" s="241">
        <v>0</v>
      </c>
      <c r="C29" s="244">
        <v>0</v>
      </c>
      <c r="D29" s="241">
        <v>-3800</v>
      </c>
      <c r="E29" s="244">
        <v>-3800</v>
      </c>
      <c r="F29" s="244">
        <v>0</v>
      </c>
      <c r="G29" s="244">
        <v>0</v>
      </c>
      <c r="H29" s="244">
        <v>0</v>
      </c>
      <c r="I29" s="244">
        <v>0</v>
      </c>
      <c r="J29" s="241">
        <v>-27000</v>
      </c>
      <c r="K29" s="244">
        <v>0</v>
      </c>
      <c r="L29" s="241">
        <v>1013.916</v>
      </c>
      <c r="M29" s="244">
        <v>1013.916</v>
      </c>
      <c r="N29" s="244">
        <v>0</v>
      </c>
      <c r="O29" s="244">
        <v>0</v>
      </c>
      <c r="P29" s="241">
        <v>-10393.517</v>
      </c>
      <c r="Q29" s="244">
        <v>0</v>
      </c>
      <c r="R29" s="241">
        <v>0</v>
      </c>
      <c r="S29" s="244"/>
      <c r="T29" s="241">
        <v>0</v>
      </c>
      <c r="U29" s="244">
        <v>0</v>
      </c>
      <c r="V29" s="241">
        <v>0</v>
      </c>
      <c r="W29" s="244">
        <v>0</v>
      </c>
      <c r="X29" s="244">
        <f t="shared" si="8"/>
        <v>0</v>
      </c>
      <c r="Y29" s="241">
        <v>21763.496</v>
      </c>
      <c r="Z29" s="244"/>
      <c r="AA29" s="241">
        <v>0</v>
      </c>
      <c r="AB29" s="244"/>
      <c r="AC29" s="241">
        <v>-6670.49</v>
      </c>
      <c r="AD29" s="241">
        <v>-15282.024</v>
      </c>
      <c r="AE29" s="244"/>
      <c r="AF29" s="241">
        <v>-78</v>
      </c>
      <c r="AG29" s="241">
        <v>-2866.422</v>
      </c>
      <c r="AH29" s="241">
        <v>-5000</v>
      </c>
      <c r="AI29" s="241">
        <v>0</v>
      </c>
      <c r="AJ29" s="244">
        <v>0</v>
      </c>
      <c r="AK29" s="241">
        <v>0</v>
      </c>
      <c r="AL29" s="244">
        <v>0</v>
      </c>
      <c r="AM29" s="241">
        <v>-19430</v>
      </c>
      <c r="AN29" s="244"/>
      <c r="AO29" s="241">
        <v>0</v>
      </c>
      <c r="AP29" s="244"/>
      <c r="AQ29" s="241">
        <v>0</v>
      </c>
      <c r="AR29" s="241">
        <v>2875.539</v>
      </c>
      <c r="AS29" s="244">
        <v>0.827</v>
      </c>
      <c r="AT29" s="241">
        <v>-3316.264</v>
      </c>
      <c r="AU29" s="244">
        <v>0</v>
      </c>
      <c r="AV29" s="241">
        <v>0</v>
      </c>
      <c r="AW29" s="244"/>
      <c r="AX29" s="241">
        <v>0</v>
      </c>
      <c r="AY29" s="241">
        <v>0</v>
      </c>
      <c r="AZ29" s="244"/>
      <c r="BA29" s="241">
        <v>-10000</v>
      </c>
      <c r="BB29" s="241">
        <v>0</v>
      </c>
      <c r="BC29" s="244">
        <v>0</v>
      </c>
      <c r="BD29" s="241">
        <v>-8140.689</v>
      </c>
      <c r="BE29" s="244"/>
      <c r="BF29" s="241">
        <v>0</v>
      </c>
      <c r="BG29" s="244"/>
      <c r="BH29" s="241">
        <v>0</v>
      </c>
      <c r="BI29" s="244"/>
      <c r="BJ29" s="241">
        <v>-4765.6</v>
      </c>
      <c r="BK29" s="241">
        <v>0</v>
      </c>
      <c r="BL29" s="244">
        <v>0</v>
      </c>
      <c r="BM29" s="244">
        <v>0</v>
      </c>
      <c r="BN29" s="241">
        <v>0</v>
      </c>
      <c r="BO29" s="241">
        <v>456.327</v>
      </c>
      <c r="BP29" s="241">
        <v>0</v>
      </c>
      <c r="BQ29" s="241">
        <v>0</v>
      </c>
      <c r="BR29" s="241">
        <v>-3914.316</v>
      </c>
      <c r="BS29" s="244">
        <v>0</v>
      </c>
      <c r="BT29" s="244">
        <v>0</v>
      </c>
      <c r="BU29" s="244">
        <v>0</v>
      </c>
      <c r="BV29" s="241">
        <v>0</v>
      </c>
      <c r="BW29" s="241">
        <v>0</v>
      </c>
      <c r="BX29" s="241">
        <v>0</v>
      </c>
      <c r="BY29" s="244">
        <v>0</v>
      </c>
      <c r="BZ29" s="241">
        <v>-6324.966</v>
      </c>
      <c r="CA29" s="244">
        <f t="shared" si="7"/>
        <v>-407.9360000000006</v>
      </c>
      <c r="CB29" s="244">
        <v>-5917.03</v>
      </c>
      <c r="CC29" s="241">
        <v>-3361.054</v>
      </c>
      <c r="CD29" s="241">
        <v>0</v>
      </c>
      <c r="CE29" s="244"/>
      <c r="CF29" s="241">
        <v>0</v>
      </c>
      <c r="CG29" s="241">
        <v>-400</v>
      </c>
      <c r="CH29" s="241">
        <v>0</v>
      </c>
      <c r="CI29" s="241">
        <v>-337.729</v>
      </c>
      <c r="CJ29" s="241">
        <v>0</v>
      </c>
      <c r="CK29" s="241">
        <v>0</v>
      </c>
      <c r="CL29" s="241">
        <v>0</v>
      </c>
      <c r="CM29" s="241">
        <v>0</v>
      </c>
      <c r="CN29" s="241">
        <v>0</v>
      </c>
      <c r="CO29" s="241">
        <v>80</v>
      </c>
      <c r="CP29" s="241">
        <v>0</v>
      </c>
      <c r="CQ29" s="244">
        <v>0</v>
      </c>
      <c r="CR29" s="241">
        <v>0</v>
      </c>
      <c r="CS29" s="241">
        <v>0</v>
      </c>
      <c r="CT29" s="241"/>
      <c r="CV29" s="93">
        <f t="shared" si="0"/>
        <v>-104891.79300000002</v>
      </c>
      <c r="CW29" s="93"/>
      <c r="CX29" s="93">
        <f t="shared" si="1"/>
        <v>-19124.882</v>
      </c>
      <c r="CY29" s="93">
        <f t="shared" si="2"/>
        <v>-85766.91100000001</v>
      </c>
      <c r="CZ29" s="241"/>
      <c r="DA29" s="93"/>
    </row>
    <row r="30" spans="1:105" ht="12.75">
      <c r="A30" s="319" t="s">
        <v>458</v>
      </c>
      <c r="B30" s="241">
        <v>0</v>
      </c>
      <c r="C30" s="244">
        <v>11544.88</v>
      </c>
      <c r="D30" s="241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1">
        <v>0</v>
      </c>
      <c r="K30" s="244">
        <v>0</v>
      </c>
      <c r="L30" s="241">
        <v>0</v>
      </c>
      <c r="M30" s="244">
        <v>0</v>
      </c>
      <c r="N30" s="244">
        <v>0</v>
      </c>
      <c r="O30" s="244">
        <v>0</v>
      </c>
      <c r="P30" s="241">
        <v>0</v>
      </c>
      <c r="Q30" s="244">
        <v>0</v>
      </c>
      <c r="R30" s="241">
        <v>6213.071</v>
      </c>
      <c r="S30" s="244"/>
      <c r="T30" s="241">
        <v>0</v>
      </c>
      <c r="U30" s="244">
        <v>0</v>
      </c>
      <c r="V30" s="241">
        <v>0</v>
      </c>
      <c r="W30" s="244">
        <v>0</v>
      </c>
      <c r="X30" s="244">
        <f t="shared" si="8"/>
        <v>0</v>
      </c>
      <c r="Y30" s="241">
        <v>0</v>
      </c>
      <c r="Z30" s="244"/>
      <c r="AA30" s="241">
        <v>0</v>
      </c>
      <c r="AB30" s="244"/>
      <c r="AC30" s="241">
        <v>0</v>
      </c>
      <c r="AD30" s="241">
        <v>0</v>
      </c>
      <c r="AE30" s="244"/>
      <c r="AF30" s="241">
        <v>0</v>
      </c>
      <c r="AG30" s="241">
        <v>0</v>
      </c>
      <c r="AH30" s="241">
        <v>0</v>
      </c>
      <c r="AI30" s="241">
        <v>0</v>
      </c>
      <c r="AJ30" s="244">
        <v>0</v>
      </c>
      <c r="AK30" s="241">
        <v>0</v>
      </c>
      <c r="AL30" s="244">
        <v>0</v>
      </c>
      <c r="AM30" s="241">
        <v>0</v>
      </c>
      <c r="AN30" s="244"/>
      <c r="AO30" s="241">
        <v>0</v>
      </c>
      <c r="AP30" s="244"/>
      <c r="AQ30" s="241">
        <v>0</v>
      </c>
      <c r="AR30" s="241">
        <v>0</v>
      </c>
      <c r="AS30" s="244">
        <v>0</v>
      </c>
      <c r="AT30" s="241">
        <v>0</v>
      </c>
      <c r="AU30" s="244">
        <v>0</v>
      </c>
      <c r="AV30" s="241">
        <v>0</v>
      </c>
      <c r="AW30" s="244"/>
      <c r="AX30" s="241">
        <v>0</v>
      </c>
      <c r="AY30" s="241">
        <v>0</v>
      </c>
      <c r="AZ30" s="244"/>
      <c r="BA30" s="241">
        <v>0</v>
      </c>
      <c r="BB30" s="241">
        <v>0</v>
      </c>
      <c r="BC30" s="244">
        <v>0</v>
      </c>
      <c r="BD30" s="241">
        <v>0</v>
      </c>
      <c r="BE30" s="244"/>
      <c r="BF30" s="241">
        <v>0</v>
      </c>
      <c r="BG30" s="244"/>
      <c r="BH30" s="241">
        <v>0</v>
      </c>
      <c r="BI30" s="244"/>
      <c r="BJ30" s="241">
        <v>0</v>
      </c>
      <c r="BK30" s="241">
        <v>0</v>
      </c>
      <c r="BL30" s="244">
        <v>0</v>
      </c>
      <c r="BM30" s="244">
        <v>0</v>
      </c>
      <c r="BN30" s="241">
        <v>0</v>
      </c>
      <c r="BO30" s="241">
        <v>0</v>
      </c>
      <c r="BP30" s="241">
        <v>0</v>
      </c>
      <c r="BQ30" s="241">
        <v>0</v>
      </c>
      <c r="BR30" s="241">
        <f>202.157+1634.635</f>
        <v>1836.792</v>
      </c>
      <c r="BS30" s="244">
        <v>0</v>
      </c>
      <c r="BT30" s="244">
        <v>0</v>
      </c>
      <c r="BU30" s="244">
        <v>0</v>
      </c>
      <c r="BV30" s="241">
        <v>0</v>
      </c>
      <c r="BW30" s="241">
        <v>0</v>
      </c>
      <c r="BX30" s="241">
        <v>0</v>
      </c>
      <c r="BY30" s="244">
        <v>0</v>
      </c>
      <c r="BZ30" s="241">
        <v>0</v>
      </c>
      <c r="CA30" s="244">
        <f t="shared" si="7"/>
        <v>0</v>
      </c>
      <c r="CB30" s="244">
        <v>0</v>
      </c>
      <c r="CC30" s="241">
        <v>0</v>
      </c>
      <c r="CD30" s="241">
        <v>0</v>
      </c>
      <c r="CE30" s="244"/>
      <c r="CF30" s="241">
        <v>1571.703</v>
      </c>
      <c r="CG30" s="241">
        <v>0</v>
      </c>
      <c r="CH30" s="241">
        <v>0</v>
      </c>
      <c r="CI30" s="241">
        <v>0</v>
      </c>
      <c r="CJ30" s="241">
        <v>0</v>
      </c>
      <c r="CK30" s="241">
        <v>0</v>
      </c>
      <c r="CL30" s="241">
        <v>0</v>
      </c>
      <c r="CM30" s="241">
        <v>0</v>
      </c>
      <c r="CN30" s="241">
        <v>0</v>
      </c>
      <c r="CO30" s="241">
        <v>0</v>
      </c>
      <c r="CP30" s="241">
        <v>0</v>
      </c>
      <c r="CQ30" s="244">
        <v>0</v>
      </c>
      <c r="CR30" s="241">
        <v>0</v>
      </c>
      <c r="CS30" s="241">
        <v>0</v>
      </c>
      <c r="CT30" s="241"/>
      <c r="CV30" s="93">
        <f t="shared" si="0"/>
        <v>9621.565999999999</v>
      </c>
      <c r="CW30" s="93"/>
      <c r="CX30" s="93">
        <f t="shared" si="1"/>
        <v>3408.495</v>
      </c>
      <c r="CY30" s="93">
        <f t="shared" si="2"/>
        <v>6213.071</v>
      </c>
      <c r="CZ30" s="241"/>
      <c r="DA30" s="93"/>
    </row>
    <row r="31" spans="1:105" ht="12.75">
      <c r="A31" s="319" t="s">
        <v>459</v>
      </c>
      <c r="B31" s="241">
        <v>-3304536.889</v>
      </c>
      <c r="C31" s="244">
        <v>0</v>
      </c>
      <c r="D31" s="241">
        <v>-2700552</v>
      </c>
      <c r="E31" s="244">
        <v>-2291942</v>
      </c>
      <c r="F31" s="244">
        <v>-388560</v>
      </c>
      <c r="G31" s="244">
        <v>-2268</v>
      </c>
      <c r="H31" s="244">
        <v>-388</v>
      </c>
      <c r="I31" s="244">
        <v>-17394</v>
      </c>
      <c r="J31" s="241">
        <v>-1905756.772</v>
      </c>
      <c r="K31" s="244">
        <v>-1174.709</v>
      </c>
      <c r="L31" s="241">
        <v>-1662677.062</v>
      </c>
      <c r="M31" s="244">
        <v>-1658856.974</v>
      </c>
      <c r="N31" s="244">
        <v>-2088.041</v>
      </c>
      <c r="O31" s="244">
        <v>-1732.047</v>
      </c>
      <c r="P31" s="241">
        <v>-1634656.604</v>
      </c>
      <c r="Q31" s="244">
        <v>-78.876</v>
      </c>
      <c r="R31" s="241">
        <v>-779321.142</v>
      </c>
      <c r="S31" s="244"/>
      <c r="T31" s="241">
        <v>-691610.317</v>
      </c>
      <c r="U31" s="244">
        <v>0</v>
      </c>
      <c r="V31" s="241">
        <v>-711388.949</v>
      </c>
      <c r="W31" s="244">
        <v>-616153.255</v>
      </c>
      <c r="X31" s="244">
        <f t="shared" si="8"/>
        <v>-95235.69400000002</v>
      </c>
      <c r="Y31" s="241">
        <v>-627286.622</v>
      </c>
      <c r="Z31" s="244"/>
      <c r="AA31" s="241">
        <v>-562187.124</v>
      </c>
      <c r="AB31" s="244"/>
      <c r="AC31" s="241">
        <v>-557810.661</v>
      </c>
      <c r="AD31" s="241">
        <v>-499526.791</v>
      </c>
      <c r="AE31" s="244"/>
      <c r="AF31" s="241">
        <v>-473115</v>
      </c>
      <c r="AG31" s="241">
        <v>-469173.725</v>
      </c>
      <c r="AH31" s="241">
        <v>-442682.217</v>
      </c>
      <c r="AI31" s="241">
        <v>-428380.011</v>
      </c>
      <c r="AJ31" s="244">
        <v>0</v>
      </c>
      <c r="AK31" s="241">
        <v>-396968.543</v>
      </c>
      <c r="AL31" s="244">
        <v>-103.894</v>
      </c>
      <c r="AM31" s="241">
        <v>-331005.704</v>
      </c>
      <c r="AN31" s="244"/>
      <c r="AO31" s="241">
        <v>-304808.919</v>
      </c>
      <c r="AP31" s="244"/>
      <c r="AQ31" s="241">
        <v>-272361.618</v>
      </c>
      <c r="AR31" s="241">
        <v>-286870.925</v>
      </c>
      <c r="AS31" s="244">
        <v>-82.522</v>
      </c>
      <c r="AT31" s="241">
        <v>-263347.443</v>
      </c>
      <c r="AU31" s="244">
        <v>-52.177</v>
      </c>
      <c r="AV31" s="241">
        <v>-238200</v>
      </c>
      <c r="AW31" s="244"/>
      <c r="AX31" s="241">
        <v>-246824.716</v>
      </c>
      <c r="AY31" s="241">
        <v>-217182.848</v>
      </c>
      <c r="AZ31" s="244"/>
      <c r="BA31" s="241">
        <v>-207074.78</v>
      </c>
      <c r="BB31" s="241">
        <v>-148684.061</v>
      </c>
      <c r="BC31" s="244">
        <f>-148684.061+2777.776</f>
        <v>-145906.28499999997</v>
      </c>
      <c r="BD31" s="241">
        <v>-128490.794</v>
      </c>
      <c r="BE31" s="244"/>
      <c r="BF31" s="241">
        <v>-123717.192</v>
      </c>
      <c r="BG31" s="244"/>
      <c r="BH31" s="241">
        <v>-120385.688</v>
      </c>
      <c r="BI31" s="244"/>
      <c r="BJ31" s="241">
        <v>-123271.623</v>
      </c>
      <c r="BK31" s="241">
        <v>-108354.376</v>
      </c>
      <c r="BL31" s="244">
        <v>-98946.426</v>
      </c>
      <c r="BM31" s="244">
        <v>-9407.95</v>
      </c>
      <c r="BN31" s="241">
        <v>-101034.447</v>
      </c>
      <c r="BO31" s="241">
        <v>-79915.27</v>
      </c>
      <c r="BP31" s="241">
        <v>-80865.589</v>
      </c>
      <c r="BQ31" s="241">
        <v>-71103.023</v>
      </c>
      <c r="BR31" s="241">
        <v>-39196.158</v>
      </c>
      <c r="BS31" s="244">
        <v>-34068.229</v>
      </c>
      <c r="BT31" s="244">
        <v>-4617.886</v>
      </c>
      <c r="BU31" s="244">
        <v>-510.043</v>
      </c>
      <c r="BV31" s="241">
        <v>-60621.263</v>
      </c>
      <c r="BW31" s="241">
        <v>-53137.275</v>
      </c>
      <c r="BX31" s="241">
        <v>-47688.322</v>
      </c>
      <c r="BY31" s="244">
        <f>-47688.322+4239.492</f>
        <v>-43448.83</v>
      </c>
      <c r="BZ31" s="241">
        <v>-49050.6</v>
      </c>
      <c r="CA31" s="244">
        <f t="shared" si="7"/>
        <v>-3328.851999999999</v>
      </c>
      <c r="CB31" s="244">
        <v>-45721.748</v>
      </c>
      <c r="CC31" s="241">
        <v>-47716.494</v>
      </c>
      <c r="CD31" s="241">
        <v>-43638.758</v>
      </c>
      <c r="CE31" s="244"/>
      <c r="CF31" s="241">
        <v>-41707.695</v>
      </c>
      <c r="CG31" s="241">
        <v>-30141.304</v>
      </c>
      <c r="CH31" s="241">
        <v>-26754.162</v>
      </c>
      <c r="CI31" s="241">
        <v>-23464.208</v>
      </c>
      <c r="CJ31" s="241">
        <v>-18724.138</v>
      </c>
      <c r="CK31" s="241">
        <v>-18653.97</v>
      </c>
      <c r="CL31" s="241">
        <v>-16813</v>
      </c>
      <c r="CM31" s="241">
        <v>-11411.046</v>
      </c>
      <c r="CN31" s="241">
        <v>-6732.729</v>
      </c>
      <c r="CO31" s="241">
        <v>-5070.444</v>
      </c>
      <c r="CP31" s="241">
        <v>-1532.322</v>
      </c>
      <c r="CQ31" s="244">
        <v>0</v>
      </c>
      <c r="CR31" s="241">
        <v>-3416.174</v>
      </c>
      <c r="CS31" s="241">
        <v>-356.482</v>
      </c>
      <c r="CT31" s="241"/>
      <c r="CV31" s="93">
        <f t="shared" si="0"/>
        <v>-21846955.989</v>
      </c>
      <c r="CW31" s="93"/>
      <c r="CX31" s="93">
        <f t="shared" si="1"/>
        <v>-3455807.2509999997</v>
      </c>
      <c r="CY31" s="93">
        <f t="shared" si="2"/>
        <v>-18391148.738</v>
      </c>
      <c r="CZ31" s="241"/>
      <c r="DA31" s="93"/>
    </row>
    <row r="32" spans="1:105" ht="4.5" customHeight="1">
      <c r="A32" s="319"/>
      <c r="BR32" s="241"/>
      <c r="CV32" s="93"/>
      <c r="CW32" s="93"/>
      <c r="CX32" s="93"/>
      <c r="CY32" s="93"/>
      <c r="DA32" s="93"/>
    </row>
    <row r="33" spans="1:109" ht="13.5">
      <c r="A33" s="321" t="s">
        <v>449</v>
      </c>
      <c r="B33" s="93">
        <f aca="true" t="shared" si="9" ref="B33:BM33">SUM(B22:B31)</f>
        <v>1050417.7549999994</v>
      </c>
      <c r="C33" s="219">
        <f>SUM(C22:C31)</f>
        <v>11544.88</v>
      </c>
      <c r="D33" s="93">
        <f t="shared" si="9"/>
        <v>1242761</v>
      </c>
      <c r="E33" s="219">
        <f>SUM(E22:E31)-1</f>
        <v>1428352</v>
      </c>
      <c r="F33" s="219">
        <f t="shared" si="9"/>
        <v>-131913</v>
      </c>
      <c r="G33" s="219">
        <f>SUM(G22:G31)-1</f>
        <v>3410</v>
      </c>
      <c r="H33" s="219">
        <f t="shared" si="9"/>
        <v>565</v>
      </c>
      <c r="I33" s="219">
        <f>SUM(I22:I31)</f>
        <v>-57654</v>
      </c>
      <c r="J33" s="93">
        <f t="shared" si="9"/>
        <v>-138969.8559999999</v>
      </c>
      <c r="K33" s="219">
        <f>SUM(K22:K31)</f>
        <v>1859.6789999999999</v>
      </c>
      <c r="L33" s="93">
        <f t="shared" si="9"/>
        <v>-162970.80000000005</v>
      </c>
      <c r="M33" s="219">
        <f t="shared" si="9"/>
        <v>-162478.82799999998</v>
      </c>
      <c r="N33" s="219">
        <f t="shared" si="9"/>
        <v>1602.214</v>
      </c>
      <c r="O33" s="219">
        <f>SUM(O22:O31)</f>
        <v>-2094.186</v>
      </c>
      <c r="P33" s="93">
        <f t="shared" si="9"/>
        <v>-135683.10199999996</v>
      </c>
      <c r="Q33" s="219">
        <f>SUM(Q22:Q31)</f>
        <v>45.848</v>
      </c>
      <c r="R33" s="93">
        <f t="shared" si="9"/>
        <v>-437739.6399999999</v>
      </c>
      <c r="S33" s="219">
        <v>892.715</v>
      </c>
      <c r="T33" s="93">
        <f t="shared" si="9"/>
        <v>376015.8219999999</v>
      </c>
      <c r="U33" s="219">
        <f>SUM(U22:U31)</f>
        <v>-170.251</v>
      </c>
      <c r="V33" s="93">
        <f t="shared" si="9"/>
        <v>-443347.835</v>
      </c>
      <c r="W33" s="219">
        <f t="shared" si="9"/>
        <v>-394530.49100000004</v>
      </c>
      <c r="X33" s="219">
        <f t="shared" si="9"/>
        <v>-48817.34400000002</v>
      </c>
      <c r="Y33" s="93">
        <f>SUM(Y22:Y31)</f>
        <v>91965.402</v>
      </c>
      <c r="Z33" s="219">
        <v>306.672</v>
      </c>
      <c r="AA33" s="93">
        <f t="shared" si="9"/>
        <v>389350.799</v>
      </c>
      <c r="AB33" s="219">
        <v>29499.664</v>
      </c>
      <c r="AC33" s="93">
        <f t="shared" si="9"/>
        <v>-517730.29799999995</v>
      </c>
      <c r="AD33" s="93">
        <f t="shared" si="9"/>
        <v>-575430.7110000001</v>
      </c>
      <c r="AE33" s="219">
        <v>-51</v>
      </c>
      <c r="AF33" s="93">
        <f>SUM(AF22:AF31)</f>
        <v>-491534</v>
      </c>
      <c r="AG33" s="93">
        <f t="shared" si="9"/>
        <v>-173018.81200000003</v>
      </c>
      <c r="AH33" s="93">
        <f>SUM(AH22:AH31)</f>
        <v>-365003.933</v>
      </c>
      <c r="AI33" s="93">
        <f t="shared" si="9"/>
        <v>-811115.8049999999</v>
      </c>
      <c r="AJ33" s="219">
        <f>SUM(AJ22:AJ31)</f>
        <v>2068.462</v>
      </c>
      <c r="AK33" s="93">
        <f t="shared" si="9"/>
        <v>71078.84499999991</v>
      </c>
      <c r="AL33" s="219">
        <f>SUM(AL22:AL31)</f>
        <v>175.735</v>
      </c>
      <c r="AM33" s="93">
        <f t="shared" si="9"/>
        <v>-41270.282999999996</v>
      </c>
      <c r="AN33" s="219">
        <v>-30854</v>
      </c>
      <c r="AO33" s="93">
        <f>SUM(AO22:AO31)</f>
        <v>-247958.687</v>
      </c>
      <c r="AP33" s="219">
        <v>-228052</v>
      </c>
      <c r="AQ33" s="93">
        <f>SUM(AQ22:AQ31)</f>
        <v>72140.832</v>
      </c>
      <c r="AR33" s="93">
        <f t="shared" si="9"/>
        <v>-161834.96499999997</v>
      </c>
      <c r="AS33" s="219">
        <f>SUM(AS22:AS31)</f>
        <v>-46.554000000000016</v>
      </c>
      <c r="AT33" s="93">
        <f t="shared" si="9"/>
        <v>213632.23799999995</v>
      </c>
      <c r="AU33" s="219">
        <f>SUM(AU22:AU31)</f>
        <v>-14.035000000000004</v>
      </c>
      <c r="AV33" s="93">
        <f>SUM(AV22:AV31)</f>
        <v>-420018</v>
      </c>
      <c r="AW33" s="219">
        <v>-172595</v>
      </c>
      <c r="AX33" s="93">
        <f t="shared" si="9"/>
        <v>-83958.78899999996</v>
      </c>
      <c r="AY33" s="93">
        <f t="shared" si="9"/>
        <v>-186213.522</v>
      </c>
      <c r="AZ33" s="219">
        <v>-157156.42</v>
      </c>
      <c r="BA33" s="93">
        <f t="shared" si="9"/>
        <v>-73632.26999999999</v>
      </c>
      <c r="BB33" s="93">
        <f t="shared" si="9"/>
        <v>-149640.95899999997</v>
      </c>
      <c r="BC33" s="219">
        <f>SUM(BC22:BC31)</f>
        <v>-148996.76399999997</v>
      </c>
      <c r="BD33" s="93">
        <f t="shared" si="9"/>
        <v>113903.32799999998</v>
      </c>
      <c r="BE33" s="219">
        <v>67.902</v>
      </c>
      <c r="BF33" s="93">
        <f>SUM(BF22:BF31)</f>
        <v>144975.63200000004</v>
      </c>
      <c r="BG33" s="219">
        <v>2881.014</v>
      </c>
      <c r="BH33" s="93">
        <f>SUM(BH22:BH31)</f>
        <v>118761.50699999998</v>
      </c>
      <c r="BI33" s="219">
        <v>2671.52</v>
      </c>
      <c r="BJ33" s="93">
        <f t="shared" si="9"/>
        <v>17761.651999999987</v>
      </c>
      <c r="BK33" s="93">
        <f t="shared" si="9"/>
        <v>-207987.49099999998</v>
      </c>
      <c r="BL33" s="219">
        <f t="shared" si="9"/>
        <v>-209094.93199999997</v>
      </c>
      <c r="BM33" s="219">
        <f t="shared" si="9"/>
        <v>1107.440999999999</v>
      </c>
      <c r="BN33" s="93">
        <f>SUM(BN22:BN31)</f>
        <v>-69615.679</v>
      </c>
      <c r="BO33" s="93">
        <f>SUM(BO22:BO31)</f>
        <v>50840.584</v>
      </c>
      <c r="BP33" s="93">
        <f>SUM(BP22:BP31)</f>
        <v>-113361.464</v>
      </c>
      <c r="BQ33" s="93">
        <f>SUM(BQ22:BQ31)</f>
        <v>62499.40500000001</v>
      </c>
      <c r="BR33" s="93">
        <f>SUM(BR22:BR32)</f>
        <v>-77127.854</v>
      </c>
      <c r="BS33" s="219">
        <f>SUM(BS22:BS32)</f>
        <v>-66866.33799999999</v>
      </c>
      <c r="BT33" s="219">
        <f>SUM(BT22:BT32)</f>
        <v>-8956.104</v>
      </c>
      <c r="BU33" s="219">
        <f>SUM(BU22:BU31)</f>
        <v>-1305.412</v>
      </c>
      <c r="BV33" s="93">
        <f>SUM(BV22:BV31)</f>
        <v>-92449.902</v>
      </c>
      <c r="BW33" s="93">
        <f>SUM(BW22:BW31)</f>
        <v>28300.715999999993</v>
      </c>
      <c r="BX33" s="93">
        <f aca="true" t="shared" si="10" ref="BX33:CD33">SUM(BX22:BX31)</f>
        <v>-99022.97899999999</v>
      </c>
      <c r="BY33" s="219">
        <f>SUM(BY22:BY31)</f>
        <v>-92777.107</v>
      </c>
      <c r="BZ33" s="93">
        <f t="shared" si="10"/>
        <v>6592.297000000006</v>
      </c>
      <c r="CA33" s="219">
        <f t="shared" si="10"/>
        <v>-5459.2059999999865</v>
      </c>
      <c r="CB33" s="219">
        <f t="shared" si="10"/>
        <v>12051.50299999999</v>
      </c>
      <c r="CC33" s="93">
        <f t="shared" si="10"/>
        <v>35939.833999999995</v>
      </c>
      <c r="CD33" s="93">
        <f t="shared" si="10"/>
        <v>-88750.495</v>
      </c>
      <c r="CE33" s="219">
        <v>-88193.991</v>
      </c>
      <c r="CF33" s="93">
        <f aca="true" t="shared" si="11" ref="CF33:CP33">SUM(CF22:CF31)</f>
        <v>37758.42299999999</v>
      </c>
      <c r="CG33" s="93">
        <f t="shared" si="11"/>
        <v>44118.10100000001</v>
      </c>
      <c r="CH33" s="93">
        <f t="shared" si="11"/>
        <v>-9472.537</v>
      </c>
      <c r="CI33" s="93">
        <f t="shared" si="11"/>
        <v>19911.117</v>
      </c>
      <c r="CJ33" s="93">
        <f t="shared" si="11"/>
        <v>546.5900000000038</v>
      </c>
      <c r="CK33" s="93">
        <f t="shared" si="11"/>
        <v>1264.043999999998</v>
      </c>
      <c r="CL33" s="93">
        <f t="shared" si="11"/>
        <v>30085.97200000001</v>
      </c>
      <c r="CM33" s="93">
        <f t="shared" si="11"/>
        <v>9783.807999999999</v>
      </c>
      <c r="CN33" s="93">
        <f t="shared" si="11"/>
        <v>686.8299999999999</v>
      </c>
      <c r="CO33" s="93">
        <f t="shared" si="11"/>
        <v>4534.715999999999</v>
      </c>
      <c r="CP33" s="93">
        <f t="shared" si="11"/>
        <v>8012.084999999999</v>
      </c>
      <c r="CQ33" s="219">
        <v>6877.514</v>
      </c>
      <c r="CR33" s="93">
        <f>SUM(CR22:CR31)</f>
        <v>3030.2830000000004</v>
      </c>
      <c r="CS33" s="93">
        <f>SUM(CS22:CS31)</f>
        <v>-49.99500000000006</v>
      </c>
      <c r="CT33" s="93"/>
      <c r="CV33" s="93">
        <f t="shared" si="0"/>
        <v>-2128241.046000001</v>
      </c>
      <c r="CW33" s="93"/>
      <c r="CX33" s="93">
        <f t="shared" si="1"/>
        <v>1321271.715</v>
      </c>
      <c r="CY33" s="93">
        <f t="shared" si="2"/>
        <v>-3449512.761</v>
      </c>
      <c r="CZ33" s="93"/>
      <c r="DA33" s="93"/>
      <c r="DB33" s="93"/>
      <c r="DC33" s="93"/>
      <c r="DD33" s="93"/>
      <c r="DE33" s="93"/>
    </row>
    <row r="34" spans="1:105" ht="8.25" customHeight="1">
      <c r="A34" s="321"/>
      <c r="CV34" s="93"/>
      <c r="CW34" s="93"/>
      <c r="CX34" s="93"/>
      <c r="CY34" s="93"/>
      <c r="DA34" s="93"/>
    </row>
    <row r="35" spans="1:105" ht="12.75">
      <c r="A35" s="318" t="s">
        <v>460</v>
      </c>
      <c r="CV35" s="93"/>
      <c r="CW35" s="93"/>
      <c r="CX35" s="93"/>
      <c r="CY35" s="93"/>
      <c r="DA35" s="93"/>
    </row>
    <row r="36" spans="1:105" ht="12.75">
      <c r="A36" s="319" t="s">
        <v>461</v>
      </c>
      <c r="B36" s="241">
        <v>87415.082</v>
      </c>
      <c r="C36" s="244">
        <v>0</v>
      </c>
      <c r="D36" s="241">
        <v>44424</v>
      </c>
      <c r="E36" s="244">
        <v>30511</v>
      </c>
      <c r="F36" s="244">
        <v>13847</v>
      </c>
      <c r="G36" s="244">
        <v>66</v>
      </c>
      <c r="H36" s="244">
        <v>0</v>
      </c>
      <c r="I36" s="244">
        <v>0</v>
      </c>
      <c r="J36" s="241">
        <v>23234.26</v>
      </c>
      <c r="K36" s="244">
        <v>82</v>
      </c>
      <c r="L36" s="241">
        <v>74619.909</v>
      </c>
      <c r="M36" s="244">
        <v>74201.458</v>
      </c>
      <c r="N36" s="244">
        <v>285.104</v>
      </c>
      <c r="O36" s="244">
        <v>133.347</v>
      </c>
      <c r="P36" s="241">
        <v>18248.035</v>
      </c>
      <c r="Q36" s="244">
        <v>0</v>
      </c>
      <c r="R36" s="241">
        <v>18357.871</v>
      </c>
      <c r="S36" s="244"/>
      <c r="T36" s="241">
        <v>18811.734</v>
      </c>
      <c r="U36" s="244">
        <v>0</v>
      </c>
      <c r="V36" s="241">
        <v>4005.967</v>
      </c>
      <c r="W36" s="244">
        <v>3469.677</v>
      </c>
      <c r="X36" s="244">
        <f>+V36-W36</f>
        <v>536.29</v>
      </c>
      <c r="Y36" s="241">
        <v>25829.416</v>
      </c>
      <c r="Z36" s="244"/>
      <c r="AA36" s="241">
        <v>20831.166</v>
      </c>
      <c r="AB36" s="244"/>
      <c r="AC36" s="241">
        <v>36187.179</v>
      </c>
      <c r="AD36" s="241">
        <v>8268.28</v>
      </c>
      <c r="AE36" s="244"/>
      <c r="AF36" s="241">
        <v>6010</v>
      </c>
      <c r="AG36" s="241">
        <v>3135.802</v>
      </c>
      <c r="AH36" s="241">
        <v>17402.102</v>
      </c>
      <c r="AI36" s="241">
        <v>20582.944</v>
      </c>
      <c r="AJ36" s="244">
        <v>0</v>
      </c>
      <c r="AK36" s="241">
        <v>9466.92</v>
      </c>
      <c r="AL36" s="244">
        <v>47.615</v>
      </c>
      <c r="AM36" s="241">
        <v>33750.158</v>
      </c>
      <c r="AN36" s="244"/>
      <c r="AO36" s="241">
        <v>2263.65</v>
      </c>
      <c r="AP36" s="244"/>
      <c r="AQ36" s="241">
        <v>4583.969</v>
      </c>
      <c r="AR36" s="241">
        <v>11183.87</v>
      </c>
      <c r="AS36" s="244">
        <v>3.217</v>
      </c>
      <c r="AT36" s="241">
        <v>3623.439</v>
      </c>
      <c r="AU36" s="244">
        <v>0.082</v>
      </c>
      <c r="AV36" s="241">
        <v>30808</v>
      </c>
      <c r="AW36" s="244"/>
      <c r="AX36" s="241">
        <v>259.781</v>
      </c>
      <c r="AY36" s="241">
        <v>1537.19</v>
      </c>
      <c r="AZ36" s="244"/>
      <c r="BA36" s="241">
        <v>8613.549</v>
      </c>
      <c r="BB36" s="241">
        <v>1730.406</v>
      </c>
      <c r="BC36" s="244">
        <f>1730.406-29.245</f>
        <v>1701.161</v>
      </c>
      <c r="BD36" s="241">
        <v>12426.521</v>
      </c>
      <c r="BE36" s="244"/>
      <c r="BF36" s="241">
        <v>15032.897</v>
      </c>
      <c r="BG36" s="244"/>
      <c r="BH36" s="241">
        <v>1558.625</v>
      </c>
      <c r="BI36" s="244"/>
      <c r="BJ36" s="241">
        <v>0</v>
      </c>
      <c r="BK36" s="241">
        <v>930.286</v>
      </c>
      <c r="BL36" s="244">
        <v>846.286</v>
      </c>
      <c r="BM36" s="244">
        <v>84</v>
      </c>
      <c r="BN36" s="241">
        <v>477.855</v>
      </c>
      <c r="BO36" s="241">
        <v>1843.282</v>
      </c>
      <c r="BP36" s="241">
        <v>0</v>
      </c>
      <c r="BQ36" s="241">
        <v>4318.354</v>
      </c>
      <c r="BR36" s="241">
        <v>2158.194</v>
      </c>
      <c r="BS36" s="244">
        <v>1896.232</v>
      </c>
      <c r="BT36" s="244">
        <v>261.961</v>
      </c>
      <c r="BU36" s="244">
        <v>0</v>
      </c>
      <c r="BV36" s="241">
        <v>0</v>
      </c>
      <c r="BW36" s="241">
        <v>1293.523</v>
      </c>
      <c r="BX36" s="241">
        <v>4021.965</v>
      </c>
      <c r="BY36" s="244">
        <f>4021.965-243.718</f>
        <v>3778.2470000000003</v>
      </c>
      <c r="BZ36" s="241">
        <v>1279.262</v>
      </c>
      <c r="CA36" s="244">
        <f>+BZ36-CB36</f>
        <v>445.1189999999999</v>
      </c>
      <c r="CB36" s="244">
        <v>834.143</v>
      </c>
      <c r="CC36" s="241">
        <v>606.095</v>
      </c>
      <c r="CD36" s="241">
        <v>0</v>
      </c>
      <c r="CE36" s="244"/>
      <c r="CF36" s="241">
        <v>1048.395</v>
      </c>
      <c r="CG36" s="241">
        <v>600</v>
      </c>
      <c r="CH36" s="241">
        <v>325.313</v>
      </c>
      <c r="CI36" s="241">
        <v>494.266</v>
      </c>
      <c r="CJ36" s="241">
        <v>535.902</v>
      </c>
      <c r="CK36" s="241">
        <v>0</v>
      </c>
      <c r="CL36" s="241">
        <v>151.846</v>
      </c>
      <c r="CM36" s="241">
        <v>0</v>
      </c>
      <c r="CN36" s="241">
        <v>641.394</v>
      </c>
      <c r="CO36" s="241">
        <v>0</v>
      </c>
      <c r="CP36" s="241">
        <v>366.313</v>
      </c>
      <c r="CQ36" s="244">
        <v>0</v>
      </c>
      <c r="CR36" s="241">
        <v>0</v>
      </c>
      <c r="CS36" s="241">
        <v>0</v>
      </c>
      <c r="CT36" s="241"/>
      <c r="CV36" s="93">
        <f t="shared" si="0"/>
        <v>585294.967</v>
      </c>
      <c r="CW36" s="93"/>
      <c r="CX36" s="93">
        <f t="shared" si="1"/>
        <v>57042.494000000006</v>
      </c>
      <c r="CY36" s="93">
        <f t="shared" si="2"/>
        <v>528252.4730000001</v>
      </c>
      <c r="CZ36" s="241"/>
      <c r="DA36" s="93"/>
    </row>
    <row r="37" spans="1:105" ht="12.75">
      <c r="A37" s="319" t="s">
        <v>462</v>
      </c>
      <c r="B37" s="241">
        <v>0</v>
      </c>
      <c r="C37" s="244">
        <v>0</v>
      </c>
      <c r="D37" s="241">
        <v>5210</v>
      </c>
      <c r="E37" s="244">
        <v>2590</v>
      </c>
      <c r="F37" s="244">
        <v>2560</v>
      </c>
      <c r="G37" s="244">
        <v>0</v>
      </c>
      <c r="H37" s="244">
        <v>0</v>
      </c>
      <c r="I37" s="244">
        <v>61</v>
      </c>
      <c r="J37" s="241">
        <v>34305.582</v>
      </c>
      <c r="K37" s="244">
        <v>0</v>
      </c>
      <c r="L37" s="241">
        <v>38023.842</v>
      </c>
      <c r="M37" s="244">
        <v>37964.608</v>
      </c>
      <c r="N37" s="244">
        <v>0</v>
      </c>
      <c r="O37" s="244">
        <v>59.234</v>
      </c>
      <c r="P37" s="241">
        <v>441.206</v>
      </c>
      <c r="Q37" s="244">
        <v>0.614</v>
      </c>
      <c r="R37" s="241">
        <v>0</v>
      </c>
      <c r="S37" s="244"/>
      <c r="T37" s="241">
        <v>832.375</v>
      </c>
      <c r="U37" s="244">
        <v>0</v>
      </c>
      <c r="V37" s="241">
        <v>0</v>
      </c>
      <c r="W37" s="244">
        <v>0</v>
      </c>
      <c r="X37" s="244">
        <f>+V37-W37</f>
        <v>0</v>
      </c>
      <c r="Y37" s="241">
        <v>0</v>
      </c>
      <c r="Z37" s="244"/>
      <c r="AA37" s="241">
        <v>1891.96</v>
      </c>
      <c r="AB37" s="244"/>
      <c r="AC37" s="241">
        <v>0</v>
      </c>
      <c r="AD37" s="241">
        <v>2839.595</v>
      </c>
      <c r="AE37" s="244"/>
      <c r="AF37" s="241">
        <v>0</v>
      </c>
      <c r="AG37" s="241">
        <v>554.512</v>
      </c>
      <c r="AH37" s="241">
        <v>1.1</v>
      </c>
      <c r="AI37" s="242"/>
      <c r="AJ37" s="244">
        <v>0</v>
      </c>
      <c r="AK37" s="241">
        <v>0</v>
      </c>
      <c r="AL37" s="244">
        <v>0</v>
      </c>
      <c r="AM37" s="241">
        <v>0</v>
      </c>
      <c r="AN37" s="244"/>
      <c r="AO37" s="241">
        <v>161.931</v>
      </c>
      <c r="AP37" s="244"/>
      <c r="AQ37" s="241">
        <v>573.195</v>
      </c>
      <c r="AR37" s="241">
        <v>2955.189</v>
      </c>
      <c r="AS37" s="244">
        <v>0.85</v>
      </c>
      <c r="AT37" s="241">
        <v>412.578</v>
      </c>
      <c r="AU37" s="244">
        <v>0</v>
      </c>
      <c r="AV37" s="241">
        <v>0</v>
      </c>
      <c r="AW37" s="244"/>
      <c r="AX37" s="241">
        <v>0</v>
      </c>
      <c r="AY37" s="241">
        <v>196.231</v>
      </c>
      <c r="AZ37" s="244"/>
      <c r="BA37" s="241">
        <v>0</v>
      </c>
      <c r="BB37" s="241">
        <v>0</v>
      </c>
      <c r="BC37" s="244">
        <v>0</v>
      </c>
      <c r="BD37" s="241">
        <v>0</v>
      </c>
      <c r="BE37" s="244"/>
      <c r="BF37" s="241">
        <v>11199.595</v>
      </c>
      <c r="BG37" s="244"/>
      <c r="BH37" s="241">
        <v>0</v>
      </c>
      <c r="BI37" s="244"/>
      <c r="BJ37" s="241">
        <v>1297.814</v>
      </c>
      <c r="BK37" s="241">
        <v>0</v>
      </c>
      <c r="BL37" s="244">
        <v>0</v>
      </c>
      <c r="BM37" s="244">
        <v>0</v>
      </c>
      <c r="BN37" s="241">
        <v>2961.83</v>
      </c>
      <c r="BO37" s="241">
        <v>174.413</v>
      </c>
      <c r="BP37" s="241">
        <v>0</v>
      </c>
      <c r="BQ37" s="241">
        <v>0</v>
      </c>
      <c r="BR37" s="241">
        <v>0</v>
      </c>
      <c r="BS37" s="244">
        <v>0</v>
      </c>
      <c r="BT37" s="244">
        <v>0</v>
      </c>
      <c r="BU37" s="244">
        <v>0</v>
      </c>
      <c r="BV37" s="241">
        <v>0</v>
      </c>
      <c r="BW37" s="241">
        <v>0</v>
      </c>
      <c r="BX37" s="241">
        <v>79.838</v>
      </c>
      <c r="BY37" s="244">
        <f>79.838-2.1</f>
        <v>77.738</v>
      </c>
      <c r="BZ37" s="241">
        <v>0</v>
      </c>
      <c r="CA37" s="244">
        <f>+BZ37-CB37</f>
        <v>0</v>
      </c>
      <c r="CB37" s="244">
        <v>0</v>
      </c>
      <c r="CC37" s="241">
        <v>39.833</v>
      </c>
      <c r="CD37" s="241">
        <v>4168.008</v>
      </c>
      <c r="CE37" s="244"/>
      <c r="CF37" s="241">
        <v>0</v>
      </c>
      <c r="CG37" s="241">
        <v>1030.212</v>
      </c>
      <c r="CH37" s="241">
        <v>7.857</v>
      </c>
      <c r="CI37" s="241">
        <v>243.985</v>
      </c>
      <c r="CJ37" s="241">
        <v>0</v>
      </c>
      <c r="CK37" s="241">
        <v>0</v>
      </c>
      <c r="CL37" s="241">
        <v>8.606</v>
      </c>
      <c r="CM37" s="241">
        <v>0</v>
      </c>
      <c r="CN37" s="241">
        <v>0</v>
      </c>
      <c r="CO37" s="241">
        <v>1.883</v>
      </c>
      <c r="CP37" s="241">
        <v>0</v>
      </c>
      <c r="CQ37" s="244">
        <v>0</v>
      </c>
      <c r="CR37" s="241">
        <v>0</v>
      </c>
      <c r="CS37" s="241">
        <v>0</v>
      </c>
      <c r="CT37" s="241"/>
      <c r="CV37" s="93">
        <f t="shared" si="0"/>
        <v>109613.17000000003</v>
      </c>
      <c r="CW37" s="93"/>
      <c r="CX37" s="93">
        <f t="shared" si="1"/>
        <v>11074.934</v>
      </c>
      <c r="CY37" s="93">
        <f t="shared" si="2"/>
        <v>98538.23600000002</v>
      </c>
      <c r="CZ37" s="241"/>
      <c r="DA37" s="93"/>
    </row>
    <row r="38" spans="1:105" ht="12.75">
      <c r="A38" s="323" t="s">
        <v>463</v>
      </c>
      <c r="B38" s="241">
        <v>0</v>
      </c>
      <c r="C38" s="244">
        <v>0</v>
      </c>
      <c r="D38" s="241">
        <v>0</v>
      </c>
      <c r="E38" s="244">
        <v>0</v>
      </c>
      <c r="F38" s="244">
        <v>0</v>
      </c>
      <c r="G38" s="244">
        <v>0</v>
      </c>
      <c r="H38" s="244">
        <v>0</v>
      </c>
      <c r="I38" s="244">
        <v>0</v>
      </c>
      <c r="J38" s="241">
        <v>0</v>
      </c>
      <c r="K38" s="244">
        <v>0</v>
      </c>
      <c r="L38" s="241">
        <v>0</v>
      </c>
      <c r="M38" s="244">
        <v>0</v>
      </c>
      <c r="N38" s="244">
        <v>0</v>
      </c>
      <c r="O38" s="244">
        <v>0</v>
      </c>
      <c r="P38" s="241">
        <v>0</v>
      </c>
      <c r="Q38" s="244">
        <v>0</v>
      </c>
      <c r="R38" s="241">
        <v>0</v>
      </c>
      <c r="S38" s="244"/>
      <c r="T38" s="241">
        <v>0</v>
      </c>
      <c r="U38" s="244">
        <v>0</v>
      </c>
      <c r="V38" s="241">
        <v>0</v>
      </c>
      <c r="W38" s="244">
        <v>0</v>
      </c>
      <c r="X38" s="244">
        <f>+V38-W38</f>
        <v>0</v>
      </c>
      <c r="Y38" s="241">
        <v>0</v>
      </c>
      <c r="Z38" s="244"/>
      <c r="AA38" s="241">
        <v>0</v>
      </c>
      <c r="AB38" s="244"/>
      <c r="AC38" s="241">
        <v>0</v>
      </c>
      <c r="AD38" s="241">
        <v>0</v>
      </c>
      <c r="AE38" s="244"/>
      <c r="AF38" s="241">
        <v>0</v>
      </c>
      <c r="AG38" s="241">
        <v>0</v>
      </c>
      <c r="AH38" s="241">
        <v>0</v>
      </c>
      <c r="AI38" s="241">
        <v>0</v>
      </c>
      <c r="AJ38" s="244">
        <v>0</v>
      </c>
      <c r="AK38" s="241">
        <v>0</v>
      </c>
      <c r="AL38" s="244">
        <v>0</v>
      </c>
      <c r="AM38" s="241">
        <v>0</v>
      </c>
      <c r="AN38" s="244"/>
      <c r="AO38" s="241">
        <v>0</v>
      </c>
      <c r="AP38" s="244"/>
      <c r="AQ38" s="241">
        <v>0</v>
      </c>
      <c r="AR38" s="241">
        <v>0</v>
      </c>
      <c r="AS38" s="244">
        <v>0</v>
      </c>
      <c r="AT38" s="241">
        <v>0</v>
      </c>
      <c r="AU38" s="244">
        <v>0</v>
      </c>
      <c r="AV38" s="241">
        <v>0</v>
      </c>
      <c r="AW38" s="244"/>
      <c r="AX38" s="241">
        <v>0</v>
      </c>
      <c r="AY38" s="241">
        <v>0</v>
      </c>
      <c r="AZ38" s="244"/>
      <c r="BA38" s="241">
        <v>0</v>
      </c>
      <c r="BB38" s="241">
        <v>0</v>
      </c>
      <c r="BC38" s="244">
        <v>0</v>
      </c>
      <c r="BD38" s="241">
        <v>0</v>
      </c>
      <c r="BE38" s="244"/>
      <c r="BF38" s="241">
        <v>0</v>
      </c>
      <c r="BG38" s="244"/>
      <c r="BH38" s="241">
        <v>0</v>
      </c>
      <c r="BI38" s="244"/>
      <c r="BJ38" s="241">
        <v>0</v>
      </c>
      <c r="BK38" s="241">
        <v>0</v>
      </c>
      <c r="BL38" s="244">
        <v>0</v>
      </c>
      <c r="BM38" s="244">
        <v>0</v>
      </c>
      <c r="BN38" s="241">
        <v>0</v>
      </c>
      <c r="BO38" s="241">
        <v>0</v>
      </c>
      <c r="BP38" s="241">
        <v>0</v>
      </c>
      <c r="BQ38" s="241">
        <v>0</v>
      </c>
      <c r="BR38" s="241">
        <v>0</v>
      </c>
      <c r="BS38" s="244">
        <v>0</v>
      </c>
      <c r="BT38" s="244">
        <v>0</v>
      </c>
      <c r="BU38" s="244">
        <v>0</v>
      </c>
      <c r="BV38" s="241">
        <v>0</v>
      </c>
      <c r="BW38" s="241">
        <v>0</v>
      </c>
      <c r="BX38" s="241">
        <v>0</v>
      </c>
      <c r="BY38" s="244">
        <v>0</v>
      </c>
      <c r="BZ38" s="241">
        <v>0</v>
      </c>
      <c r="CA38" s="244">
        <f>+BZ38-CB38</f>
        <v>0</v>
      </c>
      <c r="CB38" s="244">
        <v>0</v>
      </c>
      <c r="CC38" s="241">
        <v>0</v>
      </c>
      <c r="CD38" s="241">
        <v>0</v>
      </c>
      <c r="CE38" s="244"/>
      <c r="CF38" s="241">
        <v>0</v>
      </c>
      <c r="CG38" s="241"/>
      <c r="CH38" s="241">
        <v>0</v>
      </c>
      <c r="CI38" s="241">
        <v>0</v>
      </c>
      <c r="CJ38" s="241">
        <v>0</v>
      </c>
      <c r="CK38" s="241">
        <v>0</v>
      </c>
      <c r="CL38" s="241">
        <v>0</v>
      </c>
      <c r="CM38" s="241">
        <v>0</v>
      </c>
      <c r="CN38" s="241">
        <v>0</v>
      </c>
      <c r="CO38" s="241">
        <v>0</v>
      </c>
      <c r="CP38" s="241">
        <v>0</v>
      </c>
      <c r="CQ38" s="244">
        <v>0</v>
      </c>
      <c r="CR38" s="241">
        <v>0</v>
      </c>
      <c r="CS38" s="241">
        <v>0</v>
      </c>
      <c r="CT38" s="241"/>
      <c r="CV38" s="93">
        <f t="shared" si="0"/>
        <v>0</v>
      </c>
      <c r="CW38" s="93"/>
      <c r="CX38" s="93">
        <f t="shared" si="1"/>
        <v>0</v>
      </c>
      <c r="CY38" s="93">
        <f t="shared" si="2"/>
        <v>0</v>
      </c>
      <c r="CZ38" s="241"/>
      <c r="DA38" s="93"/>
    </row>
    <row r="39" spans="1:105" ht="12.75">
      <c r="A39" s="319" t="s">
        <v>464</v>
      </c>
      <c r="B39" s="241">
        <v>0</v>
      </c>
      <c r="C39" s="244">
        <v>0</v>
      </c>
      <c r="D39" s="241">
        <v>-19</v>
      </c>
      <c r="E39" s="244">
        <v>-19</v>
      </c>
      <c r="F39" s="244">
        <v>0</v>
      </c>
      <c r="G39" s="244">
        <v>0</v>
      </c>
      <c r="H39" s="244">
        <v>0</v>
      </c>
      <c r="I39" s="244">
        <v>0</v>
      </c>
      <c r="J39" s="241">
        <v>0</v>
      </c>
      <c r="K39" s="244">
        <v>0</v>
      </c>
      <c r="L39" s="241">
        <v>0</v>
      </c>
      <c r="M39" s="244">
        <v>0</v>
      </c>
      <c r="N39" s="244">
        <v>0</v>
      </c>
      <c r="O39" s="244">
        <v>0</v>
      </c>
      <c r="P39" s="241">
        <v>0</v>
      </c>
      <c r="Q39" s="244">
        <v>0</v>
      </c>
      <c r="R39" s="241">
        <v>0</v>
      </c>
      <c r="S39" s="244"/>
      <c r="T39" s="241">
        <v>0</v>
      </c>
      <c r="U39" s="244">
        <v>0</v>
      </c>
      <c r="V39" s="241">
        <v>0</v>
      </c>
      <c r="W39" s="244">
        <v>0</v>
      </c>
      <c r="X39" s="244">
        <f>+V39-W39</f>
        <v>0</v>
      </c>
      <c r="Y39" s="241">
        <v>0</v>
      </c>
      <c r="Z39" s="244"/>
      <c r="AA39" s="241">
        <v>0</v>
      </c>
      <c r="AB39" s="244"/>
      <c r="AC39" s="241">
        <v>0</v>
      </c>
      <c r="AD39" s="241">
        <v>0</v>
      </c>
      <c r="AE39" s="244"/>
      <c r="AF39" s="241">
        <v>0</v>
      </c>
      <c r="AG39" s="241">
        <v>0</v>
      </c>
      <c r="AH39" s="241">
        <v>4781.27</v>
      </c>
      <c r="AI39" s="241">
        <v>0</v>
      </c>
      <c r="AJ39" s="244">
        <v>0</v>
      </c>
      <c r="AK39" s="241">
        <v>2029.85</v>
      </c>
      <c r="AL39" s="244">
        <v>0</v>
      </c>
      <c r="AM39" s="241">
        <v>0</v>
      </c>
      <c r="AN39" s="244"/>
      <c r="AO39" s="241">
        <v>0</v>
      </c>
      <c r="AP39" s="244"/>
      <c r="AQ39" s="241">
        <v>0</v>
      </c>
      <c r="AR39" s="241">
        <v>0</v>
      </c>
      <c r="AS39" s="244">
        <v>0</v>
      </c>
      <c r="AT39" s="241">
        <v>0</v>
      </c>
      <c r="AU39" s="244">
        <v>0</v>
      </c>
      <c r="AV39" s="241">
        <v>0</v>
      </c>
      <c r="AW39" s="244"/>
      <c r="AX39" s="241">
        <v>0</v>
      </c>
      <c r="AY39" s="241">
        <v>0</v>
      </c>
      <c r="AZ39" s="244"/>
      <c r="BA39" s="241">
        <v>0</v>
      </c>
      <c r="BB39" s="241">
        <v>0</v>
      </c>
      <c r="BC39" s="244">
        <v>0</v>
      </c>
      <c r="BD39" s="241">
        <v>0</v>
      </c>
      <c r="BE39" s="244"/>
      <c r="BF39" s="241">
        <v>0</v>
      </c>
      <c r="BG39" s="244"/>
      <c r="BH39" s="241">
        <v>0</v>
      </c>
      <c r="BI39" s="244"/>
      <c r="BJ39" s="241">
        <v>0</v>
      </c>
      <c r="BK39" s="241">
        <v>0</v>
      </c>
      <c r="BL39" s="244">
        <v>0</v>
      </c>
      <c r="BM39" s="244">
        <v>0</v>
      </c>
      <c r="BN39" s="241">
        <v>0</v>
      </c>
      <c r="BO39" s="241">
        <v>0</v>
      </c>
      <c r="BP39" s="241">
        <v>0</v>
      </c>
      <c r="BQ39" s="241">
        <v>0</v>
      </c>
      <c r="BR39" s="241">
        <v>0</v>
      </c>
      <c r="BS39" s="244">
        <v>0</v>
      </c>
      <c r="BT39" s="244">
        <v>0</v>
      </c>
      <c r="BU39" s="244">
        <v>0</v>
      </c>
      <c r="BV39" s="241">
        <v>0</v>
      </c>
      <c r="BW39" s="241">
        <v>0</v>
      </c>
      <c r="BX39" s="241">
        <v>0</v>
      </c>
      <c r="BY39" s="244">
        <v>0</v>
      </c>
      <c r="BZ39" s="241">
        <v>0</v>
      </c>
      <c r="CA39" s="244">
        <f>+BZ39-CB39</f>
        <v>0</v>
      </c>
      <c r="CB39" s="244">
        <v>0</v>
      </c>
      <c r="CC39" s="241">
        <v>0</v>
      </c>
      <c r="CD39" s="241">
        <v>0</v>
      </c>
      <c r="CE39" s="244"/>
      <c r="CF39" s="241">
        <v>0</v>
      </c>
      <c r="CG39" s="241">
        <v>0</v>
      </c>
      <c r="CH39" s="241">
        <v>0</v>
      </c>
      <c r="CI39" s="241">
        <v>0</v>
      </c>
      <c r="CJ39" s="241">
        <v>0</v>
      </c>
      <c r="CK39" s="241">
        <v>0</v>
      </c>
      <c r="CL39" s="241">
        <v>0</v>
      </c>
      <c r="CM39" s="241">
        <v>0</v>
      </c>
      <c r="CN39" s="241">
        <v>0</v>
      </c>
      <c r="CO39" s="241">
        <v>0</v>
      </c>
      <c r="CP39" s="241">
        <v>0</v>
      </c>
      <c r="CQ39" s="244">
        <v>0</v>
      </c>
      <c r="CR39" s="241">
        <v>0</v>
      </c>
      <c r="CS39" s="241">
        <v>0</v>
      </c>
      <c r="CT39" s="241"/>
      <c r="CV39" s="93">
        <f t="shared" si="0"/>
        <v>6792.120000000001</v>
      </c>
      <c r="CW39" s="93"/>
      <c r="CX39" s="93">
        <f t="shared" si="1"/>
        <v>-19</v>
      </c>
      <c r="CY39" s="93">
        <f t="shared" si="2"/>
        <v>6811.120000000001</v>
      </c>
      <c r="CZ39" s="241"/>
      <c r="DA39" s="93"/>
    </row>
    <row r="40" spans="1:105" ht="12.75">
      <c r="A40" s="319" t="s">
        <v>465</v>
      </c>
      <c r="B40" s="241">
        <v>0</v>
      </c>
      <c r="C40" s="244">
        <v>0</v>
      </c>
      <c r="D40" s="241">
        <v>0</v>
      </c>
      <c r="E40" s="244">
        <v>0</v>
      </c>
      <c r="F40" s="244">
        <v>0</v>
      </c>
      <c r="G40" s="244">
        <v>0</v>
      </c>
      <c r="H40" s="244">
        <v>0</v>
      </c>
      <c r="I40" s="244">
        <v>0</v>
      </c>
      <c r="J40" s="241">
        <v>7103.683</v>
      </c>
      <c r="K40" s="244">
        <v>9.786</v>
      </c>
      <c r="L40" s="241">
        <v>0</v>
      </c>
      <c r="M40" s="244">
        <v>0</v>
      </c>
      <c r="N40" s="244">
        <v>0</v>
      </c>
      <c r="O40" s="244">
        <v>0</v>
      </c>
      <c r="P40" s="241">
        <v>0</v>
      </c>
      <c r="Q40" s="244">
        <v>0</v>
      </c>
      <c r="R40" s="241">
        <v>0</v>
      </c>
      <c r="S40" s="244"/>
      <c r="T40" s="241">
        <v>0</v>
      </c>
      <c r="U40" s="244">
        <v>0</v>
      </c>
      <c r="V40" s="241">
        <v>0</v>
      </c>
      <c r="W40" s="244">
        <v>0</v>
      </c>
      <c r="X40" s="244">
        <f>+V40-W40</f>
        <v>0</v>
      </c>
      <c r="Y40" s="241">
        <v>0</v>
      </c>
      <c r="Z40" s="244"/>
      <c r="AA40" s="241">
        <v>0</v>
      </c>
      <c r="AB40" s="244"/>
      <c r="AC40" s="241">
        <v>0</v>
      </c>
      <c r="AD40" s="241">
        <v>0</v>
      </c>
      <c r="AE40" s="244"/>
      <c r="AF40" s="241">
        <v>0</v>
      </c>
      <c r="AG40" s="241">
        <v>12037.323</v>
      </c>
      <c r="AH40" s="241">
        <v>196.627</v>
      </c>
      <c r="AI40" s="241">
        <v>0</v>
      </c>
      <c r="AJ40" s="244">
        <v>0</v>
      </c>
      <c r="AK40" s="241">
        <v>1381.069</v>
      </c>
      <c r="AL40" s="244">
        <v>0</v>
      </c>
      <c r="AM40" s="241">
        <v>0</v>
      </c>
      <c r="AN40" s="244"/>
      <c r="AO40" s="241">
        <v>0</v>
      </c>
      <c r="AP40" s="244"/>
      <c r="AQ40" s="241">
        <v>0</v>
      </c>
      <c r="AR40" s="241">
        <v>0</v>
      </c>
      <c r="AS40" s="244">
        <v>0</v>
      </c>
      <c r="AT40" s="241">
        <v>0</v>
      </c>
      <c r="AU40" s="244">
        <v>0</v>
      </c>
      <c r="AV40" s="241">
        <v>0</v>
      </c>
      <c r="AW40" s="244"/>
      <c r="AX40" s="241">
        <v>0</v>
      </c>
      <c r="AY40" s="241">
        <v>0</v>
      </c>
      <c r="AZ40" s="244"/>
      <c r="BA40" s="241">
        <v>0</v>
      </c>
      <c r="BB40" s="241">
        <v>18244.778</v>
      </c>
      <c r="BC40" s="244">
        <v>18244.778</v>
      </c>
      <c r="BD40" s="241">
        <v>0</v>
      </c>
      <c r="BE40" s="244"/>
      <c r="BF40" s="241">
        <v>0</v>
      </c>
      <c r="BG40" s="244"/>
      <c r="BH40" s="241">
        <v>0</v>
      </c>
      <c r="BI40" s="244"/>
      <c r="BJ40" s="241">
        <v>0</v>
      </c>
      <c r="BK40" s="241">
        <v>0</v>
      </c>
      <c r="BL40" s="244">
        <v>0</v>
      </c>
      <c r="BM40" s="244">
        <v>0</v>
      </c>
      <c r="BN40" s="241">
        <v>0</v>
      </c>
      <c r="BO40" s="241">
        <v>346.708</v>
      </c>
      <c r="BP40" s="241">
        <v>0</v>
      </c>
      <c r="BQ40" s="241">
        <v>0</v>
      </c>
      <c r="BR40" s="241">
        <v>0</v>
      </c>
      <c r="BS40" s="244">
        <v>0</v>
      </c>
      <c r="BT40" s="244">
        <v>0</v>
      </c>
      <c r="BU40" s="244">
        <v>0</v>
      </c>
      <c r="BV40" s="241">
        <v>0</v>
      </c>
      <c r="BW40" s="241">
        <v>0</v>
      </c>
      <c r="BX40" s="241">
        <v>0</v>
      </c>
      <c r="BY40" s="244">
        <v>0</v>
      </c>
      <c r="BZ40" s="241">
        <v>0</v>
      </c>
      <c r="CA40" s="244">
        <f>+BZ40-CB40</f>
        <v>0</v>
      </c>
      <c r="CB40" s="244">
        <v>0</v>
      </c>
      <c r="CC40" s="241">
        <v>0</v>
      </c>
      <c r="CD40" s="241">
        <v>0</v>
      </c>
      <c r="CE40" s="244"/>
      <c r="CF40" s="241">
        <v>0</v>
      </c>
      <c r="CG40" s="241">
        <v>0</v>
      </c>
      <c r="CH40" s="241">
        <v>0</v>
      </c>
      <c r="CI40" s="241">
        <v>0</v>
      </c>
      <c r="CJ40" s="241">
        <v>55.573</v>
      </c>
      <c r="CK40" s="241">
        <v>0</v>
      </c>
      <c r="CL40" s="241">
        <v>0</v>
      </c>
      <c r="CM40" s="241">
        <v>0</v>
      </c>
      <c r="CN40" s="241">
        <v>0</v>
      </c>
      <c r="CO40" s="241">
        <v>0</v>
      </c>
      <c r="CP40" s="241">
        <v>0</v>
      </c>
      <c r="CQ40" s="244">
        <v>0</v>
      </c>
      <c r="CR40" s="241">
        <v>0</v>
      </c>
      <c r="CS40" s="241">
        <v>0</v>
      </c>
      <c r="CT40" s="241"/>
      <c r="CV40" s="93">
        <f t="shared" si="0"/>
        <v>39365.76099999999</v>
      </c>
      <c r="CW40" s="93"/>
      <c r="CX40" s="93">
        <f t="shared" si="1"/>
        <v>55.573</v>
      </c>
      <c r="CY40" s="93">
        <f t="shared" si="2"/>
        <v>39310.187999999995</v>
      </c>
      <c r="CZ40" s="241"/>
      <c r="DA40" s="93"/>
    </row>
    <row r="41" spans="1:105" ht="5.25" customHeight="1">
      <c r="A41" s="319"/>
      <c r="CV41" s="93"/>
      <c r="CW41" s="93"/>
      <c r="CX41" s="93"/>
      <c r="CY41" s="93"/>
      <c r="DA41" s="93"/>
    </row>
    <row r="42" spans="1:105" ht="13.5">
      <c r="A42" s="321" t="s">
        <v>460</v>
      </c>
      <c r="B42" s="93">
        <f aca="true" t="shared" si="12" ref="B42:BM42">SUM(B36:B40)</f>
        <v>87415.082</v>
      </c>
      <c r="C42" s="219">
        <f>SUM(C36:C40)</f>
        <v>0</v>
      </c>
      <c r="D42" s="93">
        <f t="shared" si="12"/>
        <v>49615</v>
      </c>
      <c r="E42" s="219">
        <f t="shared" si="12"/>
        <v>33082</v>
      </c>
      <c r="F42" s="219">
        <f t="shared" si="12"/>
        <v>16407</v>
      </c>
      <c r="G42" s="219">
        <f t="shared" si="12"/>
        <v>66</v>
      </c>
      <c r="H42" s="219">
        <f t="shared" si="12"/>
        <v>0</v>
      </c>
      <c r="I42" s="219">
        <f t="shared" si="12"/>
        <v>61</v>
      </c>
      <c r="J42" s="93">
        <f t="shared" si="12"/>
        <v>64643.525</v>
      </c>
      <c r="K42" s="219">
        <f t="shared" si="12"/>
        <v>91.786</v>
      </c>
      <c r="L42" s="93">
        <f t="shared" si="12"/>
        <v>112643.75099999999</v>
      </c>
      <c r="M42" s="219">
        <f t="shared" si="12"/>
        <v>112166.06599999999</v>
      </c>
      <c r="N42" s="219">
        <f t="shared" si="12"/>
        <v>285.104</v>
      </c>
      <c r="O42" s="219">
        <f t="shared" si="12"/>
        <v>192.58100000000002</v>
      </c>
      <c r="P42" s="93">
        <f t="shared" si="12"/>
        <v>18689.240999999998</v>
      </c>
      <c r="Q42" s="219">
        <f t="shared" si="12"/>
        <v>0.614</v>
      </c>
      <c r="R42" s="93">
        <f t="shared" si="12"/>
        <v>18357.871</v>
      </c>
      <c r="S42" s="219">
        <v>30.379</v>
      </c>
      <c r="T42" s="93">
        <f t="shared" si="12"/>
        <v>19644.109</v>
      </c>
      <c r="U42" s="219">
        <f t="shared" si="12"/>
        <v>0</v>
      </c>
      <c r="V42" s="93">
        <f t="shared" si="12"/>
        <v>4005.967</v>
      </c>
      <c r="W42" s="219">
        <f t="shared" si="12"/>
        <v>3469.677</v>
      </c>
      <c r="X42" s="219">
        <f t="shared" si="12"/>
        <v>536.29</v>
      </c>
      <c r="Y42" s="93">
        <f>SUM(Y36:Y40)</f>
        <v>25829.416</v>
      </c>
      <c r="Z42" s="219"/>
      <c r="AA42" s="93">
        <f t="shared" si="12"/>
        <v>22723.126</v>
      </c>
      <c r="AB42" s="219">
        <v>764.573</v>
      </c>
      <c r="AC42" s="93">
        <f t="shared" si="12"/>
        <v>36187.179</v>
      </c>
      <c r="AD42" s="93">
        <f t="shared" si="12"/>
        <v>11107.875</v>
      </c>
      <c r="AE42" s="219">
        <v>1</v>
      </c>
      <c r="AF42" s="93">
        <f>SUM(AF36:AF40)</f>
        <v>6010</v>
      </c>
      <c r="AG42" s="93">
        <f t="shared" si="12"/>
        <v>15727.637</v>
      </c>
      <c r="AH42" s="93">
        <f>SUM(AH36:AH40)</f>
        <v>22381.099</v>
      </c>
      <c r="AI42" s="93">
        <f t="shared" si="12"/>
        <v>20582.944</v>
      </c>
      <c r="AJ42" s="219">
        <f t="shared" si="12"/>
        <v>0</v>
      </c>
      <c r="AK42" s="93">
        <f t="shared" si="12"/>
        <v>12877.839</v>
      </c>
      <c r="AL42" s="219">
        <f t="shared" si="12"/>
        <v>47.615</v>
      </c>
      <c r="AM42" s="93">
        <f t="shared" si="12"/>
        <v>33750.158</v>
      </c>
      <c r="AN42" s="219"/>
      <c r="AO42" s="93">
        <f>SUM(AO36:AO40)</f>
        <v>2425.581</v>
      </c>
      <c r="AP42" s="219"/>
      <c r="AQ42" s="93">
        <f>SUM(AQ36:AQ40)</f>
        <v>5157.164</v>
      </c>
      <c r="AR42" s="93">
        <f t="shared" si="12"/>
        <v>14139.059000000001</v>
      </c>
      <c r="AS42" s="219">
        <f t="shared" si="12"/>
        <v>4.067</v>
      </c>
      <c r="AT42" s="93">
        <f t="shared" si="12"/>
        <v>4036.017</v>
      </c>
      <c r="AU42" s="219">
        <f t="shared" si="12"/>
        <v>0.082</v>
      </c>
      <c r="AV42" s="93">
        <f>SUM(AV36:AV40)</f>
        <v>30808</v>
      </c>
      <c r="AW42" s="219"/>
      <c r="AX42" s="93">
        <f t="shared" si="12"/>
        <v>259.781</v>
      </c>
      <c r="AY42" s="93">
        <f t="shared" si="12"/>
        <v>1733.421</v>
      </c>
      <c r="AZ42" s="219">
        <v>1532.418</v>
      </c>
      <c r="BA42" s="93">
        <f t="shared" si="12"/>
        <v>8613.549</v>
      </c>
      <c r="BB42" s="93">
        <f t="shared" si="12"/>
        <v>19975.183999999997</v>
      </c>
      <c r="BC42" s="219">
        <f t="shared" si="12"/>
        <v>19945.939</v>
      </c>
      <c r="BD42" s="93">
        <f t="shared" si="12"/>
        <v>12426.521</v>
      </c>
      <c r="BE42" s="219"/>
      <c r="BF42" s="93">
        <f>SUM(BF36:BF40)</f>
        <v>26232.492</v>
      </c>
      <c r="BG42" s="219"/>
      <c r="BH42" s="93">
        <f>SUM(BH36:BH40)</f>
        <v>1558.625</v>
      </c>
      <c r="BI42" s="219"/>
      <c r="BJ42" s="93">
        <f t="shared" si="12"/>
        <v>1297.814</v>
      </c>
      <c r="BK42" s="93">
        <f t="shared" si="12"/>
        <v>930.286</v>
      </c>
      <c r="BL42" s="219">
        <f t="shared" si="12"/>
        <v>846.286</v>
      </c>
      <c r="BM42" s="219">
        <f t="shared" si="12"/>
        <v>84</v>
      </c>
      <c r="BN42" s="93">
        <f aca="true" t="shared" si="13" ref="BN42:CR42">SUM(BN36:BN40)</f>
        <v>3439.685</v>
      </c>
      <c r="BO42" s="93">
        <f>SUM(BO36:BO40)</f>
        <v>2364.403</v>
      </c>
      <c r="BP42" s="93">
        <f t="shared" si="13"/>
        <v>0</v>
      </c>
      <c r="BQ42" s="93">
        <f t="shared" si="13"/>
        <v>4318.354</v>
      </c>
      <c r="BR42" s="93">
        <f>SUM(BR36:BR40)</f>
        <v>2158.194</v>
      </c>
      <c r="BS42" s="219">
        <f>SUM(BS36:BS40)</f>
        <v>1896.232</v>
      </c>
      <c r="BT42" s="219">
        <f>SUM(BT36:BT40)</f>
        <v>261.961</v>
      </c>
      <c r="BU42" s="219">
        <f>SUM(BU36:BU40)</f>
        <v>0</v>
      </c>
      <c r="BV42" s="93">
        <f>SUM(BV36:BV40)</f>
        <v>0</v>
      </c>
      <c r="BW42" s="93">
        <f t="shared" si="13"/>
        <v>1293.523</v>
      </c>
      <c r="BX42" s="93">
        <f>SUM(BX36:BX40)</f>
        <v>4101.803</v>
      </c>
      <c r="BY42" s="219">
        <f>SUM(BY36:BY40)</f>
        <v>3855.985</v>
      </c>
      <c r="BZ42" s="93">
        <f>SUM(BZ36:BZ40)</f>
        <v>1279.262</v>
      </c>
      <c r="CA42" s="219">
        <f>SUM(CA36:CA40)</f>
        <v>445.1189999999999</v>
      </c>
      <c r="CB42" s="219">
        <f>SUM(CB36:CB40)</f>
        <v>834.143</v>
      </c>
      <c r="CC42" s="93">
        <f t="shared" si="13"/>
        <v>645.928</v>
      </c>
      <c r="CD42" s="93">
        <f t="shared" si="13"/>
        <v>4168.008</v>
      </c>
      <c r="CE42" s="219">
        <v>4168.008</v>
      </c>
      <c r="CF42" s="93">
        <f t="shared" si="13"/>
        <v>1048.395</v>
      </c>
      <c r="CG42" s="93">
        <f t="shared" si="13"/>
        <v>1630.212</v>
      </c>
      <c r="CH42" s="93">
        <f t="shared" si="13"/>
        <v>333.17</v>
      </c>
      <c r="CI42" s="93">
        <f t="shared" si="13"/>
        <v>738.251</v>
      </c>
      <c r="CJ42" s="93">
        <f>SUM(CJ36:CJ40)</f>
        <v>591.475</v>
      </c>
      <c r="CK42" s="93">
        <f t="shared" si="13"/>
        <v>0</v>
      </c>
      <c r="CL42" s="93">
        <f t="shared" si="13"/>
        <v>160.452</v>
      </c>
      <c r="CM42" s="93">
        <f t="shared" si="13"/>
        <v>0</v>
      </c>
      <c r="CN42" s="93">
        <f t="shared" si="13"/>
        <v>641.394</v>
      </c>
      <c r="CO42" s="93">
        <f t="shared" si="13"/>
        <v>1.883</v>
      </c>
      <c r="CP42" s="93">
        <f>SUM(CP36:CP40)</f>
        <v>366.313</v>
      </c>
      <c r="CQ42" s="219">
        <f>SUM(CQ36:CQ40)</f>
        <v>0</v>
      </c>
      <c r="CR42" s="93">
        <f t="shared" si="13"/>
        <v>0</v>
      </c>
      <c r="CS42" s="93">
        <f>SUM(CS36:CS40)</f>
        <v>0</v>
      </c>
      <c r="CT42" s="93"/>
      <c r="CV42" s="93">
        <f t="shared" si="0"/>
        <v>741066.0180000002</v>
      </c>
      <c r="CW42" s="93"/>
      <c r="CX42" s="93">
        <f t="shared" si="1"/>
        <v>68154.001</v>
      </c>
      <c r="CY42" s="93">
        <f t="shared" si="2"/>
        <v>672912.017</v>
      </c>
      <c r="CZ42" s="93"/>
      <c r="DA42" s="93"/>
    </row>
    <row r="43" spans="1:105" ht="8.25" customHeight="1">
      <c r="A43" s="321"/>
      <c r="CV43" s="93"/>
      <c r="CW43" s="93"/>
      <c r="CX43" s="93"/>
      <c r="CY43" s="93"/>
      <c r="DA43" s="93"/>
    </row>
    <row r="44" spans="1:105" ht="12.75">
      <c r="A44" s="318" t="s">
        <v>466</v>
      </c>
      <c r="CV44" s="93"/>
      <c r="CW44" s="93"/>
      <c r="CX44" s="93"/>
      <c r="CY44" s="93"/>
      <c r="DA44" s="93"/>
    </row>
    <row r="45" spans="1:105" ht="12.75">
      <c r="A45" s="319" t="s">
        <v>461</v>
      </c>
      <c r="B45" s="241">
        <v>95044.323</v>
      </c>
      <c r="C45" s="244">
        <v>0</v>
      </c>
      <c r="D45" s="241">
        <v>83639</v>
      </c>
      <c r="E45" s="244">
        <v>73268</v>
      </c>
      <c r="F45" s="244">
        <v>7935</v>
      </c>
      <c r="G45" s="244">
        <v>1615</v>
      </c>
      <c r="H45" s="244">
        <v>334</v>
      </c>
      <c r="I45" s="244">
        <v>487</v>
      </c>
      <c r="J45" s="241">
        <v>87510.98</v>
      </c>
      <c r="K45" s="244">
        <v>37.759</v>
      </c>
      <c r="L45" s="241">
        <v>32438.302</v>
      </c>
      <c r="M45" s="244">
        <v>32159.335</v>
      </c>
      <c r="N45" s="244">
        <v>190.069</v>
      </c>
      <c r="O45" s="244">
        <v>88.898</v>
      </c>
      <c r="P45" s="241">
        <v>42076.204</v>
      </c>
      <c r="Q45" s="244">
        <v>0</v>
      </c>
      <c r="R45" s="241">
        <f>10990.23+7069.592</f>
        <v>18059.822</v>
      </c>
      <c r="S45" s="244"/>
      <c r="T45" s="241">
        <v>22629.065</v>
      </c>
      <c r="U45" s="244">
        <v>0</v>
      </c>
      <c r="V45" s="241">
        <v>19413.243</v>
      </c>
      <c r="W45" s="244">
        <v>16814.336</v>
      </c>
      <c r="X45" s="244">
        <f>+V45-W45</f>
        <v>2598.9069999999992</v>
      </c>
      <c r="Y45" s="241">
        <v>29347.198</v>
      </c>
      <c r="Z45" s="244"/>
      <c r="AA45" s="241">
        <v>31246.749</v>
      </c>
      <c r="AB45" s="244"/>
      <c r="AC45" s="241">
        <v>41365.704</v>
      </c>
      <c r="AD45" s="241">
        <v>28161.898</v>
      </c>
      <c r="AE45" s="244"/>
      <c r="AF45" s="241">
        <v>14915</v>
      </c>
      <c r="AG45" s="241">
        <v>18952.75</v>
      </c>
      <c r="AH45" s="241">
        <v>25521.158</v>
      </c>
      <c r="AI45" s="241">
        <v>28191.804</v>
      </c>
      <c r="AJ45" s="244">
        <v>990.58</v>
      </c>
      <c r="AK45" s="241">
        <v>18105.205</v>
      </c>
      <c r="AL45" s="244">
        <v>15.872</v>
      </c>
      <c r="AM45" s="241">
        <v>12041.232</v>
      </c>
      <c r="AN45" s="244">
        <v>44060</v>
      </c>
      <c r="AO45" s="241">
        <v>5390.633</v>
      </c>
      <c r="AP45" s="244"/>
      <c r="AQ45" s="241">
        <v>7481.751</v>
      </c>
      <c r="AR45" s="241">
        <v>11942.667</v>
      </c>
      <c r="AS45" s="244">
        <v>3.435</v>
      </c>
      <c r="AT45" s="241">
        <v>3254.428</v>
      </c>
      <c r="AU45" s="244">
        <v>0.082</v>
      </c>
      <c r="AV45" s="241">
        <v>887</v>
      </c>
      <c r="AW45" s="244"/>
      <c r="AX45" s="241">
        <v>1673.584</v>
      </c>
      <c r="AY45" s="241">
        <v>4519.319</v>
      </c>
      <c r="AZ45" s="244"/>
      <c r="BA45" s="241">
        <v>10527.671</v>
      </c>
      <c r="BB45" s="241">
        <v>865.203</v>
      </c>
      <c r="BC45" s="244">
        <f>865.203-14.623</f>
        <v>850.5799999999999</v>
      </c>
      <c r="BD45" s="241">
        <v>9257.054</v>
      </c>
      <c r="BE45" s="244"/>
      <c r="BF45" s="241">
        <v>6710.443</v>
      </c>
      <c r="BG45" s="244"/>
      <c r="BH45" s="241">
        <v>1904.986</v>
      </c>
      <c r="BI45" s="244"/>
      <c r="BJ45" s="241">
        <v>26335.059</v>
      </c>
      <c r="BK45" s="241">
        <v>3621.165</v>
      </c>
      <c r="BL45" s="244">
        <v>3169.483</v>
      </c>
      <c r="BM45" s="244">
        <v>451.682</v>
      </c>
      <c r="BN45" s="241">
        <v>958.184</v>
      </c>
      <c r="BO45" s="241">
        <v>921.641</v>
      </c>
      <c r="BP45" s="241">
        <v>4930.779</v>
      </c>
      <c r="BQ45" s="241">
        <v>3533.199</v>
      </c>
      <c r="BR45" s="241">
        <v>23232.32</v>
      </c>
      <c r="BS45" s="244">
        <v>20350.867</v>
      </c>
      <c r="BT45" s="244">
        <v>2881.453</v>
      </c>
      <c r="BU45" s="244">
        <v>0</v>
      </c>
      <c r="BV45" s="241">
        <v>2175.63</v>
      </c>
      <c r="BW45" s="241">
        <v>1979.994</v>
      </c>
      <c r="BX45" s="241">
        <v>0</v>
      </c>
      <c r="BY45" s="244">
        <v>0</v>
      </c>
      <c r="BZ45" s="241">
        <v>5735.128</v>
      </c>
      <c r="CA45" s="244">
        <f>+BZ45-CB45</f>
        <v>3057.0879999999997</v>
      </c>
      <c r="CB45" s="244">
        <v>2678.04</v>
      </c>
      <c r="CC45" s="241">
        <v>459.671</v>
      </c>
      <c r="CD45" s="241">
        <v>0</v>
      </c>
      <c r="CE45" s="244"/>
      <c r="CF45" s="241">
        <v>3474.065</v>
      </c>
      <c r="CG45" s="241">
        <v>1168.15</v>
      </c>
      <c r="CH45" s="241">
        <v>371.381</v>
      </c>
      <c r="CI45" s="241">
        <v>625.19</v>
      </c>
      <c r="CJ45" s="241">
        <v>1607.706</v>
      </c>
      <c r="CK45" s="241">
        <v>0</v>
      </c>
      <c r="CL45" s="241">
        <v>226.707</v>
      </c>
      <c r="CM45" s="241">
        <v>1893.842</v>
      </c>
      <c r="CN45" s="241">
        <v>641.395</v>
      </c>
      <c r="CO45" s="241">
        <v>680.796</v>
      </c>
      <c r="CP45" s="241">
        <v>732.627</v>
      </c>
      <c r="CQ45" s="244">
        <v>0</v>
      </c>
      <c r="CR45" s="241">
        <v>690.554</v>
      </c>
      <c r="CS45" s="241">
        <v>0</v>
      </c>
      <c r="CT45" s="241"/>
      <c r="CV45" s="93">
        <f t="shared" si="0"/>
        <v>799069.5589999999</v>
      </c>
      <c r="CW45" s="93"/>
      <c r="CX45" s="93">
        <f t="shared" si="1"/>
        <v>159517.944</v>
      </c>
      <c r="CY45" s="93">
        <f t="shared" si="2"/>
        <v>639551.6149999999</v>
      </c>
      <c r="CZ45" s="241"/>
      <c r="DA45" s="93"/>
    </row>
    <row r="46" spans="1:105" ht="12.75">
      <c r="A46" s="319" t="s">
        <v>467</v>
      </c>
      <c r="B46" s="241">
        <v>0</v>
      </c>
      <c r="C46" s="244">
        <v>143.415</v>
      </c>
      <c r="D46" s="241">
        <v>4664</v>
      </c>
      <c r="E46" s="244">
        <v>2332</v>
      </c>
      <c r="F46" s="244">
        <v>2332</v>
      </c>
      <c r="G46" s="244">
        <v>0</v>
      </c>
      <c r="H46" s="244">
        <v>0</v>
      </c>
      <c r="I46" s="244">
        <v>0</v>
      </c>
      <c r="J46" s="241">
        <v>0</v>
      </c>
      <c r="K46" s="244">
        <v>0</v>
      </c>
      <c r="L46" s="241">
        <v>41872.304</v>
      </c>
      <c r="M46" s="244">
        <v>41872.304</v>
      </c>
      <c r="N46" s="244">
        <v>0</v>
      </c>
      <c r="O46" s="244">
        <v>0</v>
      </c>
      <c r="P46" s="241">
        <v>8303.323</v>
      </c>
      <c r="Q46" s="244">
        <v>0</v>
      </c>
      <c r="R46" s="241">
        <v>16947.374</v>
      </c>
      <c r="S46" s="244"/>
      <c r="T46" s="241">
        <v>0</v>
      </c>
      <c r="U46" s="244">
        <v>0</v>
      </c>
      <c r="V46" s="241">
        <v>0</v>
      </c>
      <c r="W46" s="244">
        <v>0</v>
      </c>
      <c r="X46" s="244">
        <f>+V46-W46</f>
        <v>0</v>
      </c>
      <c r="Y46" s="241">
        <v>0</v>
      </c>
      <c r="Z46" s="244"/>
      <c r="AA46" s="241">
        <v>0</v>
      </c>
      <c r="AB46" s="244"/>
      <c r="AC46" s="241">
        <v>0</v>
      </c>
      <c r="AD46" s="241">
        <v>0</v>
      </c>
      <c r="AE46" s="244"/>
      <c r="AF46" s="241">
        <v>0</v>
      </c>
      <c r="AG46" s="241">
        <v>2503.975</v>
      </c>
      <c r="AH46" s="241">
        <v>0</v>
      </c>
      <c r="AI46" s="241">
        <v>0</v>
      </c>
      <c r="AJ46" s="244">
        <v>0</v>
      </c>
      <c r="AK46" s="241">
        <v>0</v>
      </c>
      <c r="AL46" s="244">
        <v>0</v>
      </c>
      <c r="AM46" s="241">
        <v>0</v>
      </c>
      <c r="AN46" s="244">
        <v>0</v>
      </c>
      <c r="AO46" s="241">
        <v>0</v>
      </c>
      <c r="AP46" s="244"/>
      <c r="AQ46" s="241">
        <v>518.191</v>
      </c>
      <c r="AR46" s="241">
        <v>0</v>
      </c>
      <c r="AS46" s="244">
        <v>0</v>
      </c>
      <c r="AT46" s="241">
        <v>2115.425</v>
      </c>
      <c r="AU46" s="244">
        <v>0</v>
      </c>
      <c r="AV46" s="241">
        <v>0</v>
      </c>
      <c r="AW46" s="244"/>
      <c r="AX46" s="241">
        <v>0</v>
      </c>
      <c r="AY46" s="241">
        <v>0</v>
      </c>
      <c r="AZ46" s="244"/>
      <c r="BA46" s="241">
        <v>0</v>
      </c>
      <c r="BB46" s="241">
        <v>668.128</v>
      </c>
      <c r="BC46" s="244">
        <f>668.128-0.211</f>
        <v>667.917</v>
      </c>
      <c r="BD46" s="241">
        <v>0</v>
      </c>
      <c r="BE46" s="244"/>
      <c r="BF46" s="241">
        <v>0</v>
      </c>
      <c r="BG46" s="244"/>
      <c r="BH46" s="241">
        <v>0</v>
      </c>
      <c r="BI46" s="244"/>
      <c r="BJ46" s="241">
        <v>0</v>
      </c>
      <c r="BK46" s="241">
        <v>0</v>
      </c>
      <c r="BL46" s="244">
        <v>0</v>
      </c>
      <c r="BM46" s="244">
        <v>0</v>
      </c>
      <c r="BN46" s="241">
        <v>1231.354</v>
      </c>
      <c r="BO46" s="241">
        <v>0</v>
      </c>
      <c r="BP46" s="241">
        <v>0</v>
      </c>
      <c r="BQ46" s="241">
        <v>0</v>
      </c>
      <c r="BR46" s="241">
        <v>0</v>
      </c>
      <c r="BS46" s="244">
        <v>0</v>
      </c>
      <c r="BT46" s="244">
        <v>0</v>
      </c>
      <c r="BU46" s="244">
        <v>0</v>
      </c>
      <c r="BV46" s="241">
        <v>0</v>
      </c>
      <c r="BW46" s="241">
        <v>1850.52</v>
      </c>
      <c r="BX46" s="241">
        <v>4421.503</v>
      </c>
      <c r="BY46" s="244">
        <v>0</v>
      </c>
      <c r="BZ46" s="241">
        <v>0</v>
      </c>
      <c r="CA46" s="244">
        <f>+BZ46-CB46</f>
        <v>0</v>
      </c>
      <c r="CB46" s="244">
        <v>0</v>
      </c>
      <c r="CC46" s="241">
        <v>2035.615</v>
      </c>
      <c r="CD46" s="241">
        <v>1263.87</v>
      </c>
      <c r="CE46" s="244"/>
      <c r="CF46" s="241">
        <v>0</v>
      </c>
      <c r="CG46" s="241">
        <v>0</v>
      </c>
      <c r="CH46" s="241">
        <v>1125.309</v>
      </c>
      <c r="CI46" s="241">
        <v>0</v>
      </c>
      <c r="CJ46" s="241">
        <v>0</v>
      </c>
      <c r="CK46" s="241">
        <v>1172.958</v>
      </c>
      <c r="CL46" s="241">
        <v>26.369</v>
      </c>
      <c r="CM46" s="241">
        <v>0</v>
      </c>
      <c r="CN46" s="241">
        <v>0</v>
      </c>
      <c r="CO46" s="241">
        <v>1586.521</v>
      </c>
      <c r="CP46" s="241">
        <v>0</v>
      </c>
      <c r="CQ46" s="244">
        <v>0</v>
      </c>
      <c r="CR46" s="241">
        <v>0</v>
      </c>
      <c r="CS46" s="241">
        <v>195.124</v>
      </c>
      <c r="CT46" s="241"/>
      <c r="CV46" s="93">
        <f t="shared" si="0"/>
        <v>92501.863</v>
      </c>
      <c r="CW46" s="93"/>
      <c r="CX46" s="93">
        <f t="shared" si="1"/>
        <v>9850.586000000001</v>
      </c>
      <c r="CY46" s="93">
        <f t="shared" si="2"/>
        <v>82651.27699999999</v>
      </c>
      <c r="CZ46" s="241"/>
      <c r="DA46" s="93"/>
    </row>
    <row r="47" spans="1:105" ht="5.25" customHeight="1">
      <c r="A47" s="319"/>
      <c r="CV47" s="93"/>
      <c r="CW47" s="93"/>
      <c r="CX47" s="93"/>
      <c r="CY47" s="93"/>
      <c r="DA47" s="93"/>
    </row>
    <row r="48" spans="1:105" ht="13.5">
      <c r="A48" s="321" t="s">
        <v>468</v>
      </c>
      <c r="B48" s="93">
        <f aca="true" t="shared" si="14" ref="B48:BM48">SUM(B45:B46)</f>
        <v>95044.323</v>
      </c>
      <c r="C48" s="219">
        <f>SUM(C45:C46)</f>
        <v>143.415</v>
      </c>
      <c r="D48" s="93">
        <f t="shared" si="14"/>
        <v>88303</v>
      </c>
      <c r="E48" s="219">
        <f t="shared" si="14"/>
        <v>75600</v>
      </c>
      <c r="F48" s="219">
        <f t="shared" si="14"/>
        <v>10267</v>
      </c>
      <c r="G48" s="219">
        <f t="shared" si="14"/>
        <v>1615</v>
      </c>
      <c r="H48" s="219">
        <f t="shared" si="14"/>
        <v>334</v>
      </c>
      <c r="I48" s="219">
        <f t="shared" si="14"/>
        <v>487</v>
      </c>
      <c r="J48" s="93">
        <f t="shared" si="14"/>
        <v>87510.98</v>
      </c>
      <c r="K48" s="219">
        <f t="shared" si="14"/>
        <v>37.759</v>
      </c>
      <c r="L48" s="93">
        <f t="shared" si="14"/>
        <v>74310.606</v>
      </c>
      <c r="M48" s="219">
        <f t="shared" si="14"/>
        <v>74031.639</v>
      </c>
      <c r="N48" s="219">
        <f t="shared" si="14"/>
        <v>190.069</v>
      </c>
      <c r="O48" s="219">
        <f t="shared" si="14"/>
        <v>88.898</v>
      </c>
      <c r="P48" s="93">
        <f t="shared" si="14"/>
        <v>50379.527</v>
      </c>
      <c r="Q48" s="219">
        <f t="shared" si="14"/>
        <v>0</v>
      </c>
      <c r="R48" s="93">
        <f t="shared" si="14"/>
        <v>35007.195999999996</v>
      </c>
      <c r="S48" s="219">
        <v>61.678</v>
      </c>
      <c r="T48" s="93">
        <f t="shared" si="14"/>
        <v>22629.065</v>
      </c>
      <c r="U48" s="219">
        <v>104.194</v>
      </c>
      <c r="V48" s="93">
        <f t="shared" si="14"/>
        <v>19413.243</v>
      </c>
      <c r="W48" s="219">
        <f t="shared" si="14"/>
        <v>16814.336</v>
      </c>
      <c r="X48" s="219">
        <f t="shared" si="14"/>
        <v>2598.9069999999992</v>
      </c>
      <c r="Y48" s="93">
        <f>SUM(Y45:Y46)</f>
        <v>29347.198</v>
      </c>
      <c r="Z48" s="219"/>
      <c r="AA48" s="93">
        <f t="shared" si="14"/>
        <v>31246.749</v>
      </c>
      <c r="AB48" s="219">
        <v>1051.37</v>
      </c>
      <c r="AC48" s="93">
        <f t="shared" si="14"/>
        <v>41365.704</v>
      </c>
      <c r="AD48" s="93">
        <f t="shared" si="14"/>
        <v>28161.898</v>
      </c>
      <c r="AE48" s="219">
        <v>16</v>
      </c>
      <c r="AF48" s="93">
        <f>SUM(AF45:AF46)</f>
        <v>14915</v>
      </c>
      <c r="AG48" s="93">
        <f t="shared" si="14"/>
        <v>21456.725</v>
      </c>
      <c r="AH48" s="93">
        <f>SUM(AH45:AH46)</f>
        <v>25521.158</v>
      </c>
      <c r="AI48" s="93">
        <f t="shared" si="14"/>
        <v>28191.804</v>
      </c>
      <c r="AJ48" s="219">
        <f t="shared" si="14"/>
        <v>990.58</v>
      </c>
      <c r="AK48" s="93">
        <f t="shared" si="14"/>
        <v>18105.205</v>
      </c>
      <c r="AL48" s="219">
        <f t="shared" si="14"/>
        <v>15.872</v>
      </c>
      <c r="AM48" s="93">
        <f t="shared" si="14"/>
        <v>12041.232</v>
      </c>
      <c r="AN48" s="219">
        <f t="shared" si="14"/>
        <v>44060</v>
      </c>
      <c r="AO48" s="93">
        <f>SUM(AO45:AO46)</f>
        <v>5390.633</v>
      </c>
      <c r="AP48" s="219">
        <v>7316</v>
      </c>
      <c r="AQ48" s="93">
        <f>SUM(AQ45:AQ46)</f>
        <v>7999.942</v>
      </c>
      <c r="AR48" s="93">
        <f t="shared" si="14"/>
        <v>11942.667</v>
      </c>
      <c r="AS48" s="219">
        <f t="shared" si="14"/>
        <v>3.435</v>
      </c>
      <c r="AT48" s="93">
        <f t="shared" si="14"/>
        <v>5369.853</v>
      </c>
      <c r="AU48" s="219">
        <f t="shared" si="14"/>
        <v>0.082</v>
      </c>
      <c r="AV48" s="93">
        <f>SUM(AV45:AV46)</f>
        <v>887</v>
      </c>
      <c r="AW48" s="219"/>
      <c r="AX48" s="93">
        <f t="shared" si="14"/>
        <v>1673.584</v>
      </c>
      <c r="AY48" s="93">
        <f t="shared" si="14"/>
        <v>4519.319</v>
      </c>
      <c r="AZ48" s="219">
        <v>3995.271</v>
      </c>
      <c r="BA48" s="93">
        <f t="shared" si="14"/>
        <v>10527.671</v>
      </c>
      <c r="BB48" s="93">
        <f t="shared" si="14"/>
        <v>1533.3310000000001</v>
      </c>
      <c r="BC48" s="219">
        <f t="shared" si="14"/>
        <v>1518.4969999999998</v>
      </c>
      <c r="BD48" s="93">
        <f t="shared" si="14"/>
        <v>9257.054</v>
      </c>
      <c r="BE48" s="219"/>
      <c r="BF48" s="93">
        <f>SUM(BF45:BF46)</f>
        <v>6710.443</v>
      </c>
      <c r="BG48" s="219"/>
      <c r="BH48" s="93">
        <f>SUM(BH45:BH46)</f>
        <v>1904.986</v>
      </c>
      <c r="BI48" s="219"/>
      <c r="BJ48" s="93">
        <f t="shared" si="14"/>
        <v>26335.059</v>
      </c>
      <c r="BK48" s="93">
        <f t="shared" si="14"/>
        <v>3621.165</v>
      </c>
      <c r="BL48" s="219">
        <f t="shared" si="14"/>
        <v>3169.483</v>
      </c>
      <c r="BM48" s="219">
        <f t="shared" si="14"/>
        <v>451.682</v>
      </c>
      <c r="BN48" s="93">
        <f aca="true" t="shared" si="15" ref="BN48:CR48">SUM(BN45:BN46)</f>
        <v>2189.538</v>
      </c>
      <c r="BO48" s="93">
        <f>SUM(BO45:BO46)</f>
        <v>921.641</v>
      </c>
      <c r="BP48" s="93">
        <f t="shared" si="15"/>
        <v>4930.779</v>
      </c>
      <c r="BQ48" s="93">
        <f t="shared" si="15"/>
        <v>3533.199</v>
      </c>
      <c r="BR48" s="93">
        <f>SUM(BR45:BR46)</f>
        <v>23232.32</v>
      </c>
      <c r="BS48" s="219">
        <f>SUM(BS45:BS46)</f>
        <v>20350.867</v>
      </c>
      <c r="BT48" s="219">
        <f>SUM(BT45:BT46)</f>
        <v>2881.453</v>
      </c>
      <c r="BU48" s="219">
        <f>SUM(BU45:BU46)</f>
        <v>0</v>
      </c>
      <c r="BV48" s="93">
        <f>SUM(BV45:BV46)</f>
        <v>2175.63</v>
      </c>
      <c r="BW48" s="93">
        <f t="shared" si="15"/>
        <v>3830.514</v>
      </c>
      <c r="BX48" s="93">
        <f>SUM(BX45:BX46)</f>
        <v>4421.503</v>
      </c>
      <c r="BY48" s="219">
        <f>4421.503-122.054</f>
        <v>4299.449</v>
      </c>
      <c r="BZ48" s="93">
        <f>SUM(BZ45:BZ46)</f>
        <v>5735.128</v>
      </c>
      <c r="CA48" s="219">
        <f>SUM(CA45:CA46)</f>
        <v>3057.0879999999997</v>
      </c>
      <c r="CB48" s="219">
        <f>SUM(CB45:CB46)</f>
        <v>2678.04</v>
      </c>
      <c r="CC48" s="93">
        <f t="shared" si="15"/>
        <v>2495.286</v>
      </c>
      <c r="CD48" s="93">
        <f t="shared" si="15"/>
        <v>1263.87</v>
      </c>
      <c r="CE48" s="219">
        <v>1263.87</v>
      </c>
      <c r="CF48" s="93">
        <f t="shared" si="15"/>
        <v>3474.065</v>
      </c>
      <c r="CG48" s="93">
        <f t="shared" si="15"/>
        <v>1168.15</v>
      </c>
      <c r="CH48" s="93">
        <f t="shared" si="15"/>
        <v>1496.69</v>
      </c>
      <c r="CI48" s="93">
        <f t="shared" si="15"/>
        <v>625.19</v>
      </c>
      <c r="CJ48" s="93">
        <f>SUM(CJ45:CJ46)</f>
        <v>1607.706</v>
      </c>
      <c r="CK48" s="93">
        <f t="shared" si="15"/>
        <v>1172.958</v>
      </c>
      <c r="CL48" s="93">
        <f t="shared" si="15"/>
        <v>253.076</v>
      </c>
      <c r="CM48" s="93">
        <f t="shared" si="15"/>
        <v>1893.842</v>
      </c>
      <c r="CN48" s="93">
        <f t="shared" si="15"/>
        <v>641.395</v>
      </c>
      <c r="CO48" s="93">
        <f t="shared" si="15"/>
        <v>2267.317</v>
      </c>
      <c r="CP48" s="93">
        <f>SUM(CP45:CP46)</f>
        <v>732.627</v>
      </c>
      <c r="CQ48" s="219">
        <f>SUM(CQ45:CQ46)</f>
        <v>0</v>
      </c>
      <c r="CR48" s="93">
        <f t="shared" si="15"/>
        <v>690.554</v>
      </c>
      <c r="CS48" s="93">
        <f>SUM(CS45:CS46)</f>
        <v>195.124</v>
      </c>
      <c r="CT48" s="93"/>
      <c r="CV48" s="93">
        <f t="shared" si="0"/>
        <v>891571.4219999998</v>
      </c>
      <c r="CW48" s="93"/>
      <c r="CX48" s="93">
        <f t="shared" si="1"/>
        <v>169368.53</v>
      </c>
      <c r="CY48" s="93">
        <f t="shared" si="2"/>
        <v>722202.8919999999</v>
      </c>
      <c r="CZ48" s="93"/>
      <c r="DA48" s="93"/>
    </row>
    <row r="49" spans="1:105" ht="8.25" customHeight="1">
      <c r="A49" s="319"/>
      <c r="CV49" s="93"/>
      <c r="CW49" s="93"/>
      <c r="CX49" s="93"/>
      <c r="CY49" s="93"/>
      <c r="DA49" s="93"/>
    </row>
    <row r="50" spans="1:105" ht="12.75">
      <c r="A50" s="318" t="s">
        <v>469</v>
      </c>
      <c r="B50" s="93">
        <v>31983.883</v>
      </c>
      <c r="C50" s="219">
        <v>0</v>
      </c>
      <c r="D50" s="93">
        <v>0</v>
      </c>
      <c r="E50" s="219">
        <v>0</v>
      </c>
      <c r="F50" s="219">
        <v>0</v>
      </c>
      <c r="G50" s="219">
        <v>0</v>
      </c>
      <c r="H50" s="219">
        <v>0</v>
      </c>
      <c r="I50" s="219">
        <v>0</v>
      </c>
      <c r="J50" s="93">
        <v>17613.191</v>
      </c>
      <c r="K50" s="219">
        <v>0</v>
      </c>
      <c r="L50" s="93">
        <v>0</v>
      </c>
      <c r="M50" s="219">
        <v>0</v>
      </c>
      <c r="N50" s="219">
        <v>0</v>
      </c>
      <c r="O50" s="219">
        <v>0</v>
      </c>
      <c r="P50" s="93">
        <v>0</v>
      </c>
      <c r="Q50" s="219">
        <v>0</v>
      </c>
      <c r="R50" s="93">
        <v>4205.106</v>
      </c>
      <c r="S50" s="219"/>
      <c r="T50" s="93">
        <v>0</v>
      </c>
      <c r="U50" s="219">
        <v>0</v>
      </c>
      <c r="V50" s="93">
        <v>0</v>
      </c>
      <c r="W50" s="219">
        <v>0</v>
      </c>
      <c r="X50" s="219">
        <v>0</v>
      </c>
      <c r="Y50" s="93">
        <v>0</v>
      </c>
      <c r="Z50" s="219"/>
      <c r="AA50" s="93">
        <v>0</v>
      </c>
      <c r="AB50" s="219"/>
      <c r="AC50" s="93">
        <v>0</v>
      </c>
      <c r="AD50" s="93">
        <v>0</v>
      </c>
      <c r="AE50" s="219"/>
      <c r="AF50" s="93">
        <v>0</v>
      </c>
      <c r="AG50" s="93">
        <v>0</v>
      </c>
      <c r="AH50" s="93">
        <v>5141.547</v>
      </c>
      <c r="AI50" s="93">
        <v>2211.163</v>
      </c>
      <c r="AJ50" s="219">
        <v>0</v>
      </c>
      <c r="AK50" s="93">
        <v>0</v>
      </c>
      <c r="AL50" s="219">
        <v>0</v>
      </c>
      <c r="AM50" s="93">
        <v>0</v>
      </c>
      <c r="AN50" s="219"/>
      <c r="AO50" s="93">
        <v>0</v>
      </c>
      <c r="AP50" s="219"/>
      <c r="AQ50" s="93">
        <v>0</v>
      </c>
      <c r="AR50" s="93">
        <v>343.634</v>
      </c>
      <c r="AS50" s="219">
        <v>0.099</v>
      </c>
      <c r="AT50" s="93">
        <v>0</v>
      </c>
      <c r="AU50" s="219">
        <v>0</v>
      </c>
      <c r="AV50" s="93">
        <v>0</v>
      </c>
      <c r="AW50" s="219"/>
      <c r="AX50" s="93">
        <v>0</v>
      </c>
      <c r="AY50" s="93">
        <v>0</v>
      </c>
      <c r="AZ50" s="219"/>
      <c r="BA50" s="93">
        <v>0</v>
      </c>
      <c r="BB50" s="93">
        <v>0</v>
      </c>
      <c r="BC50" s="219">
        <v>0</v>
      </c>
      <c r="BD50" s="93">
        <v>0</v>
      </c>
      <c r="BE50" s="219"/>
      <c r="BF50" s="93">
        <v>4042.946</v>
      </c>
      <c r="BG50" s="219"/>
      <c r="BH50" s="93">
        <v>0</v>
      </c>
      <c r="BI50" s="219"/>
      <c r="BJ50" s="93">
        <v>0</v>
      </c>
      <c r="BK50" s="93">
        <v>0</v>
      </c>
      <c r="BL50" s="219">
        <v>0</v>
      </c>
      <c r="BM50" s="219">
        <v>0</v>
      </c>
      <c r="BN50" s="93">
        <v>0</v>
      </c>
      <c r="BO50" s="93">
        <v>0</v>
      </c>
      <c r="BP50" s="93">
        <v>2942.99</v>
      </c>
      <c r="BQ50" s="93">
        <v>571.678</v>
      </c>
      <c r="BR50" s="93">
        <v>0</v>
      </c>
      <c r="BS50" s="219">
        <v>0</v>
      </c>
      <c r="BT50" s="219">
        <v>0</v>
      </c>
      <c r="BU50" s="219">
        <v>0</v>
      </c>
      <c r="BV50" s="93">
        <v>0</v>
      </c>
      <c r="BW50" s="93">
        <v>5124.037</v>
      </c>
      <c r="BX50" s="93">
        <v>0</v>
      </c>
      <c r="BY50" s="219">
        <v>0</v>
      </c>
      <c r="BZ50" s="93">
        <v>0</v>
      </c>
      <c r="CA50" s="219">
        <f>+BZ50-CB50</f>
        <v>0</v>
      </c>
      <c r="CB50" s="219">
        <v>0</v>
      </c>
      <c r="CC50" s="93">
        <v>0</v>
      </c>
      <c r="CD50" s="93">
        <v>0</v>
      </c>
      <c r="CE50" s="219">
        <v>0</v>
      </c>
      <c r="CF50" s="93">
        <v>0</v>
      </c>
      <c r="CG50" s="93">
        <v>0</v>
      </c>
      <c r="CH50" s="93">
        <v>0</v>
      </c>
      <c r="CI50" s="93">
        <v>0</v>
      </c>
      <c r="CJ50" s="93">
        <v>0</v>
      </c>
      <c r="CK50" s="93">
        <v>0</v>
      </c>
      <c r="CL50" s="93">
        <v>0</v>
      </c>
      <c r="CM50" s="93">
        <v>0</v>
      </c>
      <c r="CN50" s="93">
        <v>0</v>
      </c>
      <c r="CO50" s="93">
        <v>0</v>
      </c>
      <c r="CP50" s="93">
        <v>0</v>
      </c>
      <c r="CQ50" s="219">
        <v>0</v>
      </c>
      <c r="CR50" s="93">
        <v>0</v>
      </c>
      <c r="CS50" s="93">
        <v>0</v>
      </c>
      <c r="CT50" s="93"/>
      <c r="CV50" s="93">
        <f t="shared" si="0"/>
        <v>74180.175</v>
      </c>
      <c r="CW50" s="93"/>
      <c r="CX50" s="93">
        <f t="shared" si="1"/>
        <v>5124.037</v>
      </c>
      <c r="CY50" s="93">
        <f t="shared" si="2"/>
        <v>69056.138</v>
      </c>
      <c r="CZ50" s="93"/>
      <c r="DA50" s="93"/>
    </row>
    <row r="51" spans="1:105" ht="8.25" customHeight="1">
      <c r="A51" s="319"/>
      <c r="CV51" s="93"/>
      <c r="CW51" s="93"/>
      <c r="CX51" s="93"/>
      <c r="CY51" s="93"/>
      <c r="DA51" s="93"/>
    </row>
    <row r="52" spans="1:105" ht="12.75">
      <c r="A52" s="318" t="s">
        <v>470</v>
      </c>
      <c r="B52" s="93">
        <v>0</v>
      </c>
      <c r="C52" s="219">
        <v>0</v>
      </c>
      <c r="D52" s="93">
        <v>0</v>
      </c>
      <c r="E52" s="219">
        <v>0</v>
      </c>
      <c r="F52" s="219">
        <v>0</v>
      </c>
      <c r="G52" s="219">
        <v>0</v>
      </c>
      <c r="H52" s="219">
        <v>0</v>
      </c>
      <c r="I52" s="219">
        <v>0</v>
      </c>
      <c r="J52" s="93">
        <v>0</v>
      </c>
      <c r="K52" s="219">
        <v>0</v>
      </c>
      <c r="L52" s="93">
        <v>0</v>
      </c>
      <c r="M52" s="219">
        <v>0</v>
      </c>
      <c r="N52" s="219">
        <v>0</v>
      </c>
      <c r="O52" s="219">
        <v>0</v>
      </c>
      <c r="P52" s="93">
        <v>0</v>
      </c>
      <c r="Q52" s="219">
        <v>0</v>
      </c>
      <c r="R52" s="93">
        <v>0</v>
      </c>
      <c r="S52" s="219"/>
      <c r="T52" s="93">
        <v>0</v>
      </c>
      <c r="U52" s="219">
        <v>0</v>
      </c>
      <c r="V52" s="93">
        <v>0</v>
      </c>
      <c r="W52" s="219">
        <v>0</v>
      </c>
      <c r="X52" s="219">
        <v>0</v>
      </c>
      <c r="Y52" s="93">
        <v>0</v>
      </c>
      <c r="Z52" s="219"/>
      <c r="AA52" s="93">
        <v>0</v>
      </c>
      <c r="AB52" s="219"/>
      <c r="AC52" s="93">
        <v>0</v>
      </c>
      <c r="AD52" s="93">
        <v>0</v>
      </c>
      <c r="AE52" s="219"/>
      <c r="AF52" s="93">
        <v>0</v>
      </c>
      <c r="AG52" s="93">
        <v>0</v>
      </c>
      <c r="AH52" s="93">
        <v>0</v>
      </c>
      <c r="AI52" s="93">
        <v>0</v>
      </c>
      <c r="AJ52" s="219">
        <v>0</v>
      </c>
      <c r="AK52" s="93">
        <v>0</v>
      </c>
      <c r="AL52" s="219">
        <v>0</v>
      </c>
      <c r="AM52" s="93">
        <v>0</v>
      </c>
      <c r="AN52" s="219"/>
      <c r="AO52" s="93">
        <v>0</v>
      </c>
      <c r="AP52" s="219"/>
      <c r="AQ52" s="93">
        <v>0</v>
      </c>
      <c r="AR52" s="93">
        <v>0</v>
      </c>
      <c r="AS52" s="219">
        <v>0</v>
      </c>
      <c r="AT52" s="93">
        <v>0</v>
      </c>
      <c r="AU52" s="219">
        <v>0</v>
      </c>
      <c r="AV52" s="93">
        <v>0</v>
      </c>
      <c r="AW52" s="219"/>
      <c r="AX52" s="93">
        <v>0</v>
      </c>
      <c r="AY52" s="93">
        <v>0</v>
      </c>
      <c r="AZ52" s="219"/>
      <c r="BA52" s="93">
        <v>0</v>
      </c>
      <c r="BB52" s="93">
        <v>0</v>
      </c>
      <c r="BC52" s="219">
        <v>0</v>
      </c>
      <c r="BD52" s="93">
        <v>0</v>
      </c>
      <c r="BE52" s="219"/>
      <c r="BF52" s="93">
        <v>0</v>
      </c>
      <c r="BG52" s="219"/>
      <c r="BH52" s="93">
        <v>0</v>
      </c>
      <c r="BI52" s="219"/>
      <c r="BJ52" s="93">
        <v>0</v>
      </c>
      <c r="BK52" s="93">
        <v>0</v>
      </c>
      <c r="BL52" s="219">
        <v>0</v>
      </c>
      <c r="BM52" s="219">
        <v>0</v>
      </c>
      <c r="BN52" s="93">
        <v>0</v>
      </c>
      <c r="BO52" s="93">
        <v>0</v>
      </c>
      <c r="BP52" s="93">
        <v>0</v>
      </c>
      <c r="BQ52" s="93">
        <v>0</v>
      </c>
      <c r="BR52" s="93">
        <v>0</v>
      </c>
      <c r="BS52" s="219">
        <v>0</v>
      </c>
      <c r="BT52" s="219">
        <v>0</v>
      </c>
      <c r="BU52" s="219">
        <v>0</v>
      </c>
      <c r="BV52" s="93">
        <v>0</v>
      </c>
      <c r="BW52" s="93">
        <v>0</v>
      </c>
      <c r="BX52" s="93">
        <v>0</v>
      </c>
      <c r="BY52" s="219">
        <v>0</v>
      </c>
      <c r="BZ52" s="93">
        <v>0</v>
      </c>
      <c r="CA52" s="219">
        <f>+BZ52-CB52</f>
        <v>0</v>
      </c>
      <c r="CB52" s="219">
        <v>0</v>
      </c>
      <c r="CC52" s="93">
        <v>0</v>
      </c>
      <c r="CD52" s="93">
        <v>744.877</v>
      </c>
      <c r="CE52" s="219">
        <v>744.877</v>
      </c>
      <c r="CF52" s="93">
        <v>0</v>
      </c>
      <c r="CG52" s="93">
        <v>0</v>
      </c>
      <c r="CH52" s="93">
        <v>0</v>
      </c>
      <c r="CI52" s="93">
        <v>0</v>
      </c>
      <c r="CJ52" s="93">
        <v>0</v>
      </c>
      <c r="CK52" s="93">
        <v>0</v>
      </c>
      <c r="CL52" s="93">
        <v>0</v>
      </c>
      <c r="CM52" s="93">
        <v>0</v>
      </c>
      <c r="CN52" s="93">
        <v>0</v>
      </c>
      <c r="CO52" s="93">
        <v>0</v>
      </c>
      <c r="CP52" s="93">
        <v>0</v>
      </c>
      <c r="CQ52" s="219">
        <v>0</v>
      </c>
      <c r="CR52" s="93">
        <v>0</v>
      </c>
      <c r="CS52" s="93">
        <v>0</v>
      </c>
      <c r="CT52" s="93"/>
      <c r="CV52" s="93">
        <f t="shared" si="0"/>
        <v>744.877</v>
      </c>
      <c r="CW52" s="93"/>
      <c r="CX52" s="93">
        <f t="shared" si="1"/>
        <v>0</v>
      </c>
      <c r="CY52" s="93">
        <f t="shared" si="2"/>
        <v>744.877</v>
      </c>
      <c r="CZ52" s="93"/>
      <c r="DA52" s="93"/>
    </row>
    <row r="53" spans="1:105" ht="8.25" customHeight="1">
      <c r="A53" s="322"/>
      <c r="CV53" s="93"/>
      <c r="CW53" s="93"/>
      <c r="CX53" s="93"/>
      <c r="CY53" s="93"/>
      <c r="DA53" s="93"/>
    </row>
    <row r="54" spans="1:105" ht="12.75">
      <c r="A54" s="318" t="s">
        <v>471</v>
      </c>
      <c r="CV54" s="93"/>
      <c r="CW54" s="93"/>
      <c r="CX54" s="93"/>
      <c r="CY54" s="93"/>
      <c r="DA54" s="93"/>
    </row>
    <row r="55" spans="1:105" ht="12.75">
      <c r="A55" s="318" t="s">
        <v>472</v>
      </c>
      <c r="B55" s="93">
        <f aca="true" t="shared" si="16" ref="B55:BM55">B11-B19+B33-B42-B48+B50-B52</f>
        <v>5192169.472999999</v>
      </c>
      <c r="C55" s="219">
        <f>C11-C19+C33-C42-C48+C50-C52</f>
        <v>206276.762</v>
      </c>
      <c r="D55" s="93">
        <f>D11-D19+D33-D42-D48+D50-D52+1</f>
        <v>12275752</v>
      </c>
      <c r="E55" s="219">
        <f>E11-E19+E33-E42-E48+E50-E52+2</f>
        <v>8003951</v>
      </c>
      <c r="F55" s="219">
        <f t="shared" si="16"/>
        <v>4020552</v>
      </c>
      <c r="G55" s="219">
        <f t="shared" si="16"/>
        <v>33695</v>
      </c>
      <c r="H55" s="219">
        <f>H11-H19+H33-H42-H48+H50-H52+1</f>
        <v>6151</v>
      </c>
      <c r="I55" s="219">
        <f>I11-I19+I33-I42-I48+I50-I52+1</f>
        <v>211403</v>
      </c>
      <c r="J55" s="93">
        <f t="shared" si="16"/>
        <v>591471.0999999999</v>
      </c>
      <c r="K55" s="219">
        <f>K11-K19+K33-K42-K48+K50-K52</f>
        <v>20379.112000000005</v>
      </c>
      <c r="L55" s="93">
        <f t="shared" si="16"/>
        <v>867705.2259999999</v>
      </c>
      <c r="M55" s="219">
        <f t="shared" si="16"/>
        <v>749060.1130000002</v>
      </c>
      <c r="N55" s="219">
        <f t="shared" si="16"/>
        <v>104745.66999999998</v>
      </c>
      <c r="O55" s="219">
        <f>O11-O19+O33-O42-O48+O50-O52</f>
        <v>13899.394999999999</v>
      </c>
      <c r="P55" s="93">
        <f t="shared" si="16"/>
        <v>586395.7479999997</v>
      </c>
      <c r="Q55" s="219">
        <f>+Q11-Q19+Q33-Q42-Q48+Q50-Q52</f>
        <v>2759.535</v>
      </c>
      <c r="R55" s="93">
        <f t="shared" si="16"/>
        <v>-8379.937999999893</v>
      </c>
      <c r="S55" s="219">
        <f t="shared" si="16"/>
        <v>72684.98599999999</v>
      </c>
      <c r="T55" s="93">
        <f t="shared" si="16"/>
        <v>1280908.319</v>
      </c>
      <c r="U55" s="219">
        <f t="shared" si="16"/>
        <v>8085.901000000001</v>
      </c>
      <c r="V55" s="93">
        <f t="shared" si="16"/>
        <v>-265741.74999999994</v>
      </c>
      <c r="W55" s="219">
        <f t="shared" si="16"/>
        <v>-514290.78000000014</v>
      </c>
      <c r="X55" s="219">
        <f t="shared" si="16"/>
        <v>248549.03000000003</v>
      </c>
      <c r="Y55" s="93">
        <f>Y11-Y19+Y33-Y42-Y48+Y50-Y52</f>
        <v>1102019.934</v>
      </c>
      <c r="Z55" s="219">
        <f>Z11-Z19+Z33-Z42-Z48+Z50-Z52</f>
        <v>37318.573</v>
      </c>
      <c r="AA55" s="93">
        <f t="shared" si="16"/>
        <v>469791.32700000005</v>
      </c>
      <c r="AB55" s="219">
        <f t="shared" si="16"/>
        <v>204341.001</v>
      </c>
      <c r="AC55" s="93">
        <f t="shared" si="16"/>
        <v>-173635.844</v>
      </c>
      <c r="AD55" s="93">
        <f t="shared" si="16"/>
        <v>-420381.3870000001</v>
      </c>
      <c r="AE55" s="219">
        <f t="shared" si="16"/>
        <v>2526</v>
      </c>
      <c r="AF55" s="93">
        <f>AF11-AF19+AF33-AF42-AF48+AF50-AF52</f>
        <v>-109189</v>
      </c>
      <c r="AG55" s="93">
        <f t="shared" si="16"/>
        <v>-331063.616</v>
      </c>
      <c r="AH55" s="93">
        <f>AH11-AH19+AH33-AH42-AH48+AH50-AH52</f>
        <v>-85867.48000000007</v>
      </c>
      <c r="AI55" s="93">
        <f t="shared" si="16"/>
        <v>-93437.26099999987</v>
      </c>
      <c r="AJ55" s="219">
        <f t="shared" si="16"/>
        <v>53411.611</v>
      </c>
      <c r="AK55" s="93">
        <f t="shared" si="16"/>
        <v>193088.48399999994</v>
      </c>
      <c r="AL55" s="219">
        <f t="shared" si="16"/>
        <v>2344.1100000000006</v>
      </c>
      <c r="AM55" s="93">
        <f t="shared" si="16"/>
        <v>1067409.3269999996</v>
      </c>
      <c r="AN55" s="219">
        <f t="shared" si="16"/>
        <v>720546</v>
      </c>
      <c r="AO55" s="93">
        <f>AO11-AO19+AO33-AO42-AO48+AO50-AO52</f>
        <v>1581100.6460000004</v>
      </c>
      <c r="AP55" s="219">
        <f>AP11-AP19+AP33-AP42-AP48+AP50-AP52</f>
        <v>1077715</v>
      </c>
      <c r="AQ55" s="93">
        <f>AQ11-AQ19+AQ33-AQ42-AQ48+AQ50-AQ52</f>
        <v>911990.2279999998</v>
      </c>
      <c r="AR55" s="93">
        <f t="shared" si="16"/>
        <v>2876.2069999999985</v>
      </c>
      <c r="AS55" s="219">
        <f t="shared" si="16"/>
        <v>1299.939</v>
      </c>
      <c r="AT55" s="93">
        <f t="shared" si="16"/>
        <v>355682.9199999999</v>
      </c>
      <c r="AU55" s="219">
        <f t="shared" si="16"/>
        <v>2894.0820000000003</v>
      </c>
      <c r="AV55" s="93">
        <f>AV11-AV19+AV33-AV42-AV48+AV50-AV52</f>
        <v>778854</v>
      </c>
      <c r="AW55" s="219">
        <f>AW11-AW19+AW33-AW42-AW48+AW50-AW52</f>
        <v>741655</v>
      </c>
      <c r="AX55" s="93">
        <f t="shared" si="16"/>
        <v>-154959.13299999994</v>
      </c>
      <c r="AY55" s="93">
        <f t="shared" si="16"/>
        <v>244408.97500000003</v>
      </c>
      <c r="AZ55" s="219">
        <f t="shared" si="16"/>
        <v>-30720.45899999999</v>
      </c>
      <c r="BA55" s="93">
        <f t="shared" si="16"/>
        <v>69585.19699999999</v>
      </c>
      <c r="BB55" s="93">
        <f t="shared" si="16"/>
        <v>552378.018</v>
      </c>
      <c r="BC55" s="219">
        <f>552378.019-114686.911</f>
        <v>437691.108</v>
      </c>
      <c r="BD55" s="93">
        <f t="shared" si="16"/>
        <v>133369.03899999996</v>
      </c>
      <c r="BE55" s="219">
        <f t="shared" si="16"/>
        <v>556.316</v>
      </c>
      <c r="BF55" s="93">
        <f>BF11-BF19+BF33-BF42-BF48+BF50-BF52</f>
        <v>216726.03600000002</v>
      </c>
      <c r="BG55" s="219">
        <f>BG11-BG19+BG33-BG42-BG48+BG50-BG52</f>
        <v>32077.837</v>
      </c>
      <c r="BH55" s="93">
        <f>BH11-BH19+BH33-BH42-BH48+BH50-BH52</f>
        <v>136587.12699999995</v>
      </c>
      <c r="BI55" s="219">
        <f>BI11-BI19+BI33-BI42-BI48+BI50-BI52</f>
        <v>23711.87</v>
      </c>
      <c r="BJ55" s="93">
        <f t="shared" si="16"/>
        <v>-121459.09000000008</v>
      </c>
      <c r="BK55" s="93">
        <f t="shared" si="16"/>
        <v>-321792.087</v>
      </c>
      <c r="BL55" s="219">
        <f t="shared" si="16"/>
        <v>-316525.137</v>
      </c>
      <c r="BM55" s="219">
        <f t="shared" si="16"/>
        <v>-5266.9500000000035</v>
      </c>
      <c r="BN55" s="93">
        <f aca="true" t="shared" si="17" ref="BN55:CS55">BN11-BN19+BN33-BN42-BN48+BN50-BN52</f>
        <v>-263998.197</v>
      </c>
      <c r="BO55" s="93">
        <f>BO11-BO19+BO33-BO42-BO48+BO50-BO52</f>
        <v>-28226.67099999999</v>
      </c>
      <c r="BP55" s="93">
        <f t="shared" si="17"/>
        <v>-72460.57999999999</v>
      </c>
      <c r="BQ55" s="93">
        <f t="shared" si="17"/>
        <v>157547.49800000005</v>
      </c>
      <c r="BR55" s="93">
        <f>BR11-BR19+BR33-BR42-BR48+BR50-BR52</f>
        <v>867733.346</v>
      </c>
      <c r="BS55" s="219">
        <f>BS11-BS19+BS33-BS42-BS48+BS50-BS52</f>
        <v>790626.1830000002</v>
      </c>
      <c r="BT55" s="219">
        <f>BT11-BT19+BT33-BT42-BT48+BT50-BT52</f>
        <v>65066.958999999995</v>
      </c>
      <c r="BU55" s="219">
        <f>BU11-BU19+BU33-BU42-BU48+BU50-BU52</f>
        <v>12040.204999999998</v>
      </c>
      <c r="BV55" s="93">
        <f>BV11-BV19+BV33-BV42-BV48+BV50-BV52</f>
        <v>-129854.028</v>
      </c>
      <c r="BW55" s="93">
        <f t="shared" si="17"/>
        <v>41206.13899999998</v>
      </c>
      <c r="BX55" s="93">
        <f>BX11-BX19+BX33-BX42-BX48+BX50-BX52</f>
        <v>229445.404</v>
      </c>
      <c r="BY55" s="219">
        <f>BY11-BY19+BY33-BY42-BY48+BY50-BY52</f>
        <v>154245.57499999998</v>
      </c>
      <c r="BZ55" s="93">
        <f>BZ11-BZ19+BZ33-BZ42-BZ48+BZ50-BZ52</f>
        <v>58368.528000000006</v>
      </c>
      <c r="CA55" s="219">
        <f>CA11-CA19+CA33-CA42-CA48+CA50-CA52</f>
        <v>37336.524000000005</v>
      </c>
      <c r="CB55" s="219">
        <f>CB11-CB19+CB33-CB42-CB48+CB50-CB52</f>
        <v>21032.003999999983</v>
      </c>
      <c r="CC55" s="93">
        <f t="shared" si="17"/>
        <v>-20570.089000000007</v>
      </c>
      <c r="CD55" s="93">
        <f t="shared" si="17"/>
        <v>-47395.17600000001</v>
      </c>
      <c r="CE55" s="219">
        <f>CE11-CE19+CE33-CE42-CE48+CE50-CE52</f>
        <v>-69732.85199999998</v>
      </c>
      <c r="CF55" s="93">
        <f t="shared" si="17"/>
        <v>29595.421999999995</v>
      </c>
      <c r="CG55" s="93">
        <f t="shared" si="17"/>
        <v>22976.06700000001</v>
      </c>
      <c r="CH55" s="93">
        <f t="shared" si="17"/>
        <v>-53460.653000000006</v>
      </c>
      <c r="CI55" s="93">
        <f t="shared" si="17"/>
        <v>-14928.986000000006</v>
      </c>
      <c r="CJ55" s="93">
        <f>CJ11-CJ19+CJ33-CJ42-CJ48+CJ50-CJ52</f>
        <v>727.0890000000043</v>
      </c>
      <c r="CK55" s="93">
        <f t="shared" si="17"/>
        <v>-32512.086000000003</v>
      </c>
      <c r="CL55" s="93">
        <f t="shared" si="17"/>
        <v>-3880.1599999999908</v>
      </c>
      <c r="CM55" s="93">
        <f t="shared" si="17"/>
        <v>4462.706</v>
      </c>
      <c r="CN55" s="93">
        <f t="shared" si="17"/>
        <v>-4948.878000000002</v>
      </c>
      <c r="CO55" s="93">
        <f t="shared" si="17"/>
        <v>-30301.921000000006</v>
      </c>
      <c r="CP55" s="93">
        <f>CP11-CP19+CP33-CP42-CP48+CP50-CP52</f>
        <v>-23894.051</v>
      </c>
      <c r="CQ55" s="219">
        <f>CQ11-CQ19+CQ33-CQ42-CQ48+CQ50-CQ52</f>
        <v>-23929.683</v>
      </c>
      <c r="CR55" s="93">
        <f t="shared" si="17"/>
        <v>-13143.623</v>
      </c>
      <c r="CS55" s="93">
        <f t="shared" si="17"/>
        <v>-1659.815</v>
      </c>
      <c r="CT55" s="93"/>
      <c r="CV55" s="93">
        <f t="shared" si="0"/>
        <v>27195190.029999994</v>
      </c>
      <c r="CW55" s="93"/>
      <c r="CX55" s="93">
        <f t="shared" si="1"/>
        <v>13778959.816000002</v>
      </c>
      <c r="CY55" s="93">
        <f t="shared" si="2"/>
        <v>13416230.213999994</v>
      </c>
      <c r="CZ55" s="93"/>
      <c r="DA55" s="93"/>
    </row>
    <row r="56" spans="1:105" ht="8.25" customHeight="1">
      <c r="A56" s="322"/>
      <c r="CV56" s="93"/>
      <c r="CW56" s="93"/>
      <c r="CX56" s="93"/>
      <c r="CY56" s="93"/>
      <c r="DA56" s="93"/>
    </row>
    <row r="57" spans="1:105" ht="12.75">
      <c r="A57" s="318" t="s">
        <v>473</v>
      </c>
      <c r="B57" s="93">
        <f>B58+B59</f>
        <v>0</v>
      </c>
      <c r="C57" s="219">
        <f>C58+C59</f>
        <v>0</v>
      </c>
      <c r="D57" s="93">
        <f>D58+D59</f>
        <v>0</v>
      </c>
      <c r="E57" s="219">
        <f aca="true" t="shared" si="18" ref="E57:N57">E58+E59</f>
        <v>0</v>
      </c>
      <c r="F57" s="219">
        <f t="shared" si="18"/>
        <v>0</v>
      </c>
      <c r="G57" s="219">
        <f t="shared" si="18"/>
        <v>0</v>
      </c>
      <c r="H57" s="219">
        <f t="shared" si="18"/>
        <v>0</v>
      </c>
      <c r="I57" s="219">
        <f>I58+I59</f>
        <v>0</v>
      </c>
      <c r="J57" s="93">
        <f t="shared" si="18"/>
        <v>0</v>
      </c>
      <c r="K57" s="219">
        <f>K58+K59</f>
        <v>0</v>
      </c>
      <c r="L57" s="93">
        <f t="shared" si="18"/>
        <v>0</v>
      </c>
      <c r="M57" s="219">
        <f t="shared" si="18"/>
        <v>0</v>
      </c>
      <c r="N57" s="219">
        <f t="shared" si="18"/>
        <v>0</v>
      </c>
      <c r="O57" s="219">
        <f>O58+O59</f>
        <v>0</v>
      </c>
      <c r="P57" s="93">
        <f>P58+P59</f>
        <v>0</v>
      </c>
      <c r="Q57" s="219">
        <f>Q58+Q59</f>
        <v>0</v>
      </c>
      <c r="R57" s="93">
        <f>R58+R59</f>
        <v>0</v>
      </c>
      <c r="S57" s="219"/>
      <c r="T57" s="93">
        <f>T58+T59</f>
        <v>0</v>
      </c>
      <c r="U57" s="219"/>
      <c r="V57" s="93">
        <f aca="true" t="shared" si="19" ref="V57:AD57">V58+V59</f>
        <v>0</v>
      </c>
      <c r="W57" s="219">
        <f t="shared" si="19"/>
        <v>0</v>
      </c>
      <c r="X57" s="219">
        <f t="shared" si="19"/>
        <v>0</v>
      </c>
      <c r="Y57" s="93">
        <f t="shared" si="19"/>
        <v>0</v>
      </c>
      <c r="Z57" s="219"/>
      <c r="AA57" s="93">
        <f t="shared" si="19"/>
        <v>0</v>
      </c>
      <c r="AB57" s="219"/>
      <c r="AC57" s="93">
        <f t="shared" si="19"/>
        <v>0</v>
      </c>
      <c r="AD57" s="93">
        <f t="shared" si="19"/>
        <v>0</v>
      </c>
      <c r="AE57" s="219"/>
      <c r="AF57" s="93">
        <f aca="true" t="shared" si="20" ref="AF57:AO57">AF58+AF59</f>
        <v>0</v>
      </c>
      <c r="AG57" s="93">
        <f t="shared" si="20"/>
        <v>0</v>
      </c>
      <c r="AH57" s="93">
        <f t="shared" si="20"/>
        <v>0</v>
      </c>
      <c r="AI57" s="93">
        <f t="shared" si="20"/>
        <v>0</v>
      </c>
      <c r="AJ57" s="219">
        <f t="shared" si="20"/>
        <v>0</v>
      </c>
      <c r="AK57" s="93">
        <f t="shared" si="20"/>
        <v>0</v>
      </c>
      <c r="AL57" s="219">
        <f t="shared" si="20"/>
        <v>0</v>
      </c>
      <c r="AM57" s="93">
        <f t="shared" si="20"/>
        <v>0</v>
      </c>
      <c r="AN57" s="219"/>
      <c r="AO57" s="93">
        <f t="shared" si="20"/>
        <v>0</v>
      </c>
      <c r="AP57" s="219"/>
      <c r="AQ57" s="93">
        <f aca="true" t="shared" si="21" ref="AQ57:BM57">AQ58+AQ59</f>
        <v>0</v>
      </c>
      <c r="AR57" s="93">
        <f t="shared" si="21"/>
        <v>0</v>
      </c>
      <c r="AS57" s="219">
        <f t="shared" si="21"/>
        <v>0</v>
      </c>
      <c r="AT57" s="93">
        <f t="shared" si="21"/>
        <v>0</v>
      </c>
      <c r="AU57" s="219">
        <f t="shared" si="21"/>
        <v>0</v>
      </c>
      <c r="AV57" s="93">
        <f t="shared" si="21"/>
        <v>0</v>
      </c>
      <c r="AW57" s="219"/>
      <c r="AX57" s="93">
        <f t="shared" si="21"/>
        <v>0</v>
      </c>
      <c r="AY57" s="93">
        <f t="shared" si="21"/>
        <v>0</v>
      </c>
      <c r="AZ57" s="219"/>
      <c r="BA57" s="93">
        <f t="shared" si="21"/>
        <v>0</v>
      </c>
      <c r="BB57" s="93">
        <f t="shared" si="21"/>
        <v>0</v>
      </c>
      <c r="BC57" s="219">
        <f t="shared" si="21"/>
        <v>0</v>
      </c>
      <c r="BD57" s="93">
        <f t="shared" si="21"/>
        <v>0</v>
      </c>
      <c r="BE57" s="219"/>
      <c r="BF57" s="93">
        <f t="shared" si="21"/>
        <v>0</v>
      </c>
      <c r="BG57" s="219"/>
      <c r="BH57" s="93">
        <f t="shared" si="21"/>
        <v>0</v>
      </c>
      <c r="BI57" s="219"/>
      <c r="BJ57" s="93">
        <f t="shared" si="21"/>
        <v>0</v>
      </c>
      <c r="BK57" s="93">
        <f t="shared" si="21"/>
        <v>0</v>
      </c>
      <c r="BL57" s="219">
        <f t="shared" si="21"/>
        <v>0</v>
      </c>
      <c r="BM57" s="219">
        <f t="shared" si="21"/>
        <v>0</v>
      </c>
      <c r="BN57" s="93">
        <f aca="true" t="shared" si="22" ref="BN57:CS57">BN58+BN59</f>
        <v>0</v>
      </c>
      <c r="BO57" s="93">
        <f>BO58+BO59</f>
        <v>0</v>
      </c>
      <c r="BP57" s="93">
        <f t="shared" si="22"/>
        <v>0</v>
      </c>
      <c r="BQ57" s="93">
        <f t="shared" si="22"/>
        <v>0</v>
      </c>
      <c r="BR57" s="93">
        <f>BR58+BR59</f>
        <v>0</v>
      </c>
      <c r="BS57" s="219">
        <f>BS58+BS59</f>
        <v>0</v>
      </c>
      <c r="BT57" s="219">
        <f>BT58+BT59</f>
        <v>0</v>
      </c>
      <c r="BU57" s="219">
        <f>BU58+BU59</f>
        <v>0</v>
      </c>
      <c r="BV57" s="93">
        <f>BV58+BV59</f>
        <v>0</v>
      </c>
      <c r="BW57" s="93">
        <f t="shared" si="22"/>
        <v>0</v>
      </c>
      <c r="BX57" s="93">
        <f>BX58+BX59</f>
        <v>0</v>
      </c>
      <c r="BY57" s="219">
        <f>BY58+BY59</f>
        <v>0</v>
      </c>
      <c r="BZ57" s="93">
        <f>BZ58+BZ59</f>
        <v>0</v>
      </c>
      <c r="CA57" s="219">
        <f>+BZ57-CB57</f>
        <v>0</v>
      </c>
      <c r="CB57" s="219">
        <v>0</v>
      </c>
      <c r="CC57" s="93">
        <f t="shared" si="22"/>
        <v>0</v>
      </c>
      <c r="CD57" s="93">
        <f t="shared" si="22"/>
        <v>0</v>
      </c>
      <c r="CE57" s="219"/>
      <c r="CF57" s="93">
        <f t="shared" si="22"/>
        <v>0</v>
      </c>
      <c r="CG57" s="93">
        <f t="shared" si="22"/>
        <v>0</v>
      </c>
      <c r="CH57" s="93">
        <f t="shared" si="22"/>
        <v>0</v>
      </c>
      <c r="CI57" s="93">
        <f t="shared" si="22"/>
        <v>0</v>
      </c>
      <c r="CJ57" s="93">
        <f>CJ58+CJ59</f>
        <v>0</v>
      </c>
      <c r="CK57" s="93">
        <f t="shared" si="22"/>
        <v>0</v>
      </c>
      <c r="CL57" s="93">
        <f t="shared" si="22"/>
        <v>0</v>
      </c>
      <c r="CM57" s="93">
        <f t="shared" si="22"/>
        <v>0</v>
      </c>
      <c r="CN57" s="93">
        <f t="shared" si="22"/>
        <v>0</v>
      </c>
      <c r="CO57" s="93">
        <f t="shared" si="22"/>
        <v>0</v>
      </c>
      <c r="CP57" s="93">
        <f>CP58+CP59</f>
        <v>0</v>
      </c>
      <c r="CQ57" s="219">
        <f>CQ58+CQ59</f>
        <v>0</v>
      </c>
      <c r="CR57" s="93">
        <f t="shared" si="22"/>
        <v>-2903.462</v>
      </c>
      <c r="CS57" s="93">
        <f t="shared" si="22"/>
        <v>0</v>
      </c>
      <c r="CT57" s="93"/>
      <c r="CV57" s="93">
        <f t="shared" si="0"/>
        <v>-2903.462</v>
      </c>
      <c r="CW57" s="93"/>
      <c r="CX57" s="93">
        <f t="shared" si="1"/>
        <v>-2903.462</v>
      </c>
      <c r="CY57" s="93">
        <f t="shared" si="2"/>
        <v>0</v>
      </c>
      <c r="CZ57" s="93"/>
      <c r="DA57" s="93"/>
    </row>
    <row r="58" spans="1:105" ht="12.75">
      <c r="A58" s="319" t="s">
        <v>474</v>
      </c>
      <c r="B58" s="93">
        <v>0</v>
      </c>
      <c r="C58" s="219">
        <v>0</v>
      </c>
      <c r="D58" s="93">
        <v>0</v>
      </c>
      <c r="E58" s="219">
        <v>0</v>
      </c>
      <c r="F58" s="219">
        <v>0</v>
      </c>
      <c r="G58" s="219">
        <v>0</v>
      </c>
      <c r="H58" s="219">
        <v>0</v>
      </c>
      <c r="I58" s="219">
        <v>0</v>
      </c>
      <c r="J58" s="93">
        <v>0</v>
      </c>
      <c r="K58" s="219">
        <v>0</v>
      </c>
      <c r="L58" s="93">
        <v>0</v>
      </c>
      <c r="M58" s="219">
        <v>0</v>
      </c>
      <c r="N58" s="219">
        <v>0</v>
      </c>
      <c r="O58" s="219">
        <v>0</v>
      </c>
      <c r="P58" s="93">
        <v>0</v>
      </c>
      <c r="Q58" s="219">
        <v>0</v>
      </c>
      <c r="R58" s="93">
        <v>0</v>
      </c>
      <c r="S58" s="219"/>
      <c r="T58" s="93">
        <v>0</v>
      </c>
      <c r="U58" s="219">
        <v>0</v>
      </c>
      <c r="V58" s="93">
        <v>0</v>
      </c>
      <c r="W58" s="219">
        <v>0</v>
      </c>
      <c r="X58" s="219">
        <v>0</v>
      </c>
      <c r="Y58" s="93">
        <v>0</v>
      </c>
      <c r="Z58" s="219"/>
      <c r="AA58" s="93">
        <v>0</v>
      </c>
      <c r="AB58" s="219"/>
      <c r="AC58" s="93">
        <v>0</v>
      </c>
      <c r="AD58" s="93">
        <v>0</v>
      </c>
      <c r="AE58" s="219"/>
      <c r="AF58" s="93">
        <v>0</v>
      </c>
      <c r="AG58" s="93">
        <v>0</v>
      </c>
      <c r="AH58" s="93">
        <v>0</v>
      </c>
      <c r="AI58" s="93">
        <v>0</v>
      </c>
      <c r="AJ58" s="219">
        <v>0</v>
      </c>
      <c r="AK58" s="93">
        <v>0</v>
      </c>
      <c r="AL58" s="219">
        <v>0</v>
      </c>
      <c r="AM58" s="93">
        <v>0</v>
      </c>
      <c r="AN58" s="219"/>
      <c r="AO58" s="93">
        <v>0</v>
      </c>
      <c r="AP58" s="219"/>
      <c r="AQ58" s="93">
        <v>0</v>
      </c>
      <c r="AR58" s="93">
        <v>0</v>
      </c>
      <c r="AS58" s="219">
        <v>0</v>
      </c>
      <c r="AT58" s="93">
        <v>0</v>
      </c>
      <c r="AU58" s="219">
        <v>0</v>
      </c>
      <c r="AV58" s="93">
        <v>0</v>
      </c>
      <c r="AW58" s="219"/>
      <c r="AX58" s="93">
        <v>0</v>
      </c>
      <c r="AY58" s="93">
        <v>0</v>
      </c>
      <c r="AZ58" s="219"/>
      <c r="BA58" s="93">
        <v>0</v>
      </c>
      <c r="BB58" s="93">
        <v>0</v>
      </c>
      <c r="BC58" s="219">
        <v>0</v>
      </c>
      <c r="BD58" s="93">
        <v>0</v>
      </c>
      <c r="BE58" s="219"/>
      <c r="BF58" s="93">
        <v>0</v>
      </c>
      <c r="BG58" s="219"/>
      <c r="BH58" s="93">
        <v>0</v>
      </c>
      <c r="BI58" s="219"/>
      <c r="BJ58" s="93">
        <v>0</v>
      </c>
      <c r="BK58" s="93">
        <v>0</v>
      </c>
      <c r="BL58" s="219">
        <v>0</v>
      </c>
      <c r="BM58" s="219">
        <v>0</v>
      </c>
      <c r="BN58" s="93">
        <v>0</v>
      </c>
      <c r="BO58" s="93">
        <v>0</v>
      </c>
      <c r="BP58" s="93">
        <v>0</v>
      </c>
      <c r="BQ58" s="93">
        <v>0</v>
      </c>
      <c r="BR58" s="93">
        <v>0</v>
      </c>
      <c r="BS58" s="219">
        <v>0</v>
      </c>
      <c r="BT58" s="219">
        <v>0</v>
      </c>
      <c r="BU58" s="219">
        <v>0</v>
      </c>
      <c r="BV58" s="93">
        <v>0</v>
      </c>
      <c r="BW58" s="93">
        <v>0</v>
      </c>
      <c r="BX58" s="93">
        <v>0</v>
      </c>
      <c r="BY58" s="219">
        <v>0</v>
      </c>
      <c r="BZ58" s="93">
        <v>0</v>
      </c>
      <c r="CA58" s="219">
        <f>+BZ58-CB58</f>
        <v>0</v>
      </c>
      <c r="CB58" s="219">
        <v>0</v>
      </c>
      <c r="CC58" s="93">
        <v>0</v>
      </c>
      <c r="CD58" s="93">
        <v>0</v>
      </c>
      <c r="CE58" s="219"/>
      <c r="CF58" s="93">
        <v>0</v>
      </c>
      <c r="CG58" s="93">
        <v>0</v>
      </c>
      <c r="CH58" s="93">
        <v>0</v>
      </c>
      <c r="CI58" s="93">
        <v>0</v>
      </c>
      <c r="CJ58" s="93">
        <v>0</v>
      </c>
      <c r="CK58" s="93">
        <v>0</v>
      </c>
      <c r="CL58" s="93">
        <v>0</v>
      </c>
      <c r="CM58" s="93">
        <v>0</v>
      </c>
      <c r="CN58" s="93">
        <v>0</v>
      </c>
      <c r="CO58" s="93">
        <v>0</v>
      </c>
      <c r="CP58" s="93">
        <v>0</v>
      </c>
      <c r="CQ58" s="219">
        <v>0</v>
      </c>
      <c r="CR58" s="93">
        <v>0</v>
      </c>
      <c r="CS58" s="93">
        <v>0</v>
      </c>
      <c r="CT58" s="93"/>
      <c r="CV58" s="93">
        <f t="shared" si="0"/>
        <v>0</v>
      </c>
      <c r="CW58" s="93"/>
      <c r="CX58" s="93">
        <f t="shared" si="1"/>
        <v>0</v>
      </c>
      <c r="CY58" s="93">
        <f t="shared" si="2"/>
        <v>0</v>
      </c>
      <c r="CZ58" s="93"/>
      <c r="DA58" s="93"/>
    </row>
    <row r="59" spans="1:105" ht="12.75">
      <c r="A59" s="319" t="s">
        <v>475</v>
      </c>
      <c r="B59" s="93">
        <v>0</v>
      </c>
      <c r="C59" s="219">
        <v>0</v>
      </c>
      <c r="D59" s="93">
        <v>0</v>
      </c>
      <c r="E59" s="219">
        <v>0</v>
      </c>
      <c r="F59" s="219">
        <v>0</v>
      </c>
      <c r="G59" s="219">
        <v>0</v>
      </c>
      <c r="H59" s="219">
        <v>0</v>
      </c>
      <c r="I59" s="219">
        <v>0</v>
      </c>
      <c r="J59" s="93">
        <v>0</v>
      </c>
      <c r="K59" s="219">
        <v>0</v>
      </c>
      <c r="L59" s="93">
        <v>0</v>
      </c>
      <c r="M59" s="219">
        <v>0</v>
      </c>
      <c r="N59" s="219">
        <v>0</v>
      </c>
      <c r="O59" s="219">
        <v>0</v>
      </c>
      <c r="P59" s="93">
        <v>0</v>
      </c>
      <c r="Q59" s="219">
        <v>0</v>
      </c>
      <c r="R59" s="93">
        <v>0</v>
      </c>
      <c r="S59" s="219"/>
      <c r="T59" s="93">
        <v>0</v>
      </c>
      <c r="U59" s="219">
        <v>0</v>
      </c>
      <c r="V59" s="93">
        <v>0</v>
      </c>
      <c r="W59" s="219">
        <v>0</v>
      </c>
      <c r="X59" s="219">
        <v>0</v>
      </c>
      <c r="Y59" s="93">
        <v>0</v>
      </c>
      <c r="Z59" s="219"/>
      <c r="AA59" s="93">
        <v>0</v>
      </c>
      <c r="AB59" s="219"/>
      <c r="AC59" s="93">
        <v>0</v>
      </c>
      <c r="AD59" s="93">
        <v>0</v>
      </c>
      <c r="AE59" s="219"/>
      <c r="AF59" s="93">
        <v>0</v>
      </c>
      <c r="AG59" s="93">
        <v>0</v>
      </c>
      <c r="AH59" s="93">
        <v>0</v>
      </c>
      <c r="AI59" s="93">
        <v>0</v>
      </c>
      <c r="AJ59" s="219">
        <v>0</v>
      </c>
      <c r="AK59" s="93">
        <v>0</v>
      </c>
      <c r="AL59" s="219">
        <v>0</v>
      </c>
      <c r="AM59" s="93">
        <v>0</v>
      </c>
      <c r="AN59" s="219"/>
      <c r="AO59" s="93">
        <v>0</v>
      </c>
      <c r="AP59" s="219"/>
      <c r="AQ59" s="93">
        <v>0</v>
      </c>
      <c r="AR59" s="93">
        <v>0</v>
      </c>
      <c r="AS59" s="219">
        <v>0</v>
      </c>
      <c r="AT59" s="93">
        <v>0</v>
      </c>
      <c r="AU59" s="219">
        <v>0</v>
      </c>
      <c r="AV59" s="93">
        <v>0</v>
      </c>
      <c r="AW59" s="219"/>
      <c r="AX59" s="93">
        <v>0</v>
      </c>
      <c r="AY59" s="93">
        <v>0</v>
      </c>
      <c r="AZ59" s="219"/>
      <c r="BA59" s="93">
        <v>0</v>
      </c>
      <c r="BB59" s="93">
        <v>0</v>
      </c>
      <c r="BC59" s="219">
        <v>0</v>
      </c>
      <c r="BD59" s="93">
        <v>0</v>
      </c>
      <c r="BE59" s="219"/>
      <c r="BF59" s="93">
        <v>0</v>
      </c>
      <c r="BG59" s="219"/>
      <c r="BH59" s="93">
        <v>0</v>
      </c>
      <c r="BI59" s="219"/>
      <c r="BJ59" s="93">
        <v>0</v>
      </c>
      <c r="BK59" s="93">
        <v>0</v>
      </c>
      <c r="BL59" s="219">
        <v>0</v>
      </c>
      <c r="BM59" s="219">
        <v>0</v>
      </c>
      <c r="BN59" s="93">
        <v>0</v>
      </c>
      <c r="BO59" s="93">
        <v>0</v>
      </c>
      <c r="BP59" s="93">
        <v>0</v>
      </c>
      <c r="BQ59" s="93">
        <v>0</v>
      </c>
      <c r="BR59" s="93">
        <v>0</v>
      </c>
      <c r="BS59" s="219">
        <v>0</v>
      </c>
      <c r="BT59" s="219">
        <v>0</v>
      </c>
      <c r="BU59" s="219">
        <v>0</v>
      </c>
      <c r="BV59" s="93">
        <v>0</v>
      </c>
      <c r="BW59" s="93">
        <v>0</v>
      </c>
      <c r="BX59" s="93">
        <v>0</v>
      </c>
      <c r="BY59" s="219">
        <v>0</v>
      </c>
      <c r="BZ59" s="93">
        <v>0</v>
      </c>
      <c r="CA59" s="219">
        <f>+BZ59-CB59</f>
        <v>0</v>
      </c>
      <c r="CB59" s="219">
        <v>0</v>
      </c>
      <c r="CC59" s="93">
        <v>0</v>
      </c>
      <c r="CD59" s="93">
        <v>0</v>
      </c>
      <c r="CE59" s="219"/>
      <c r="CF59" s="93">
        <v>0</v>
      </c>
      <c r="CG59" s="93">
        <v>0</v>
      </c>
      <c r="CH59" s="93">
        <v>0</v>
      </c>
      <c r="CI59" s="93">
        <v>0</v>
      </c>
      <c r="CJ59" s="93">
        <v>0</v>
      </c>
      <c r="CK59" s="93">
        <v>0</v>
      </c>
      <c r="CL59" s="93">
        <v>0</v>
      </c>
      <c r="CM59" s="93">
        <v>0</v>
      </c>
      <c r="CN59" s="93">
        <v>0</v>
      </c>
      <c r="CO59" s="93">
        <v>0</v>
      </c>
      <c r="CP59" s="93">
        <v>0</v>
      </c>
      <c r="CQ59" s="219">
        <v>0</v>
      </c>
      <c r="CR59" s="93">
        <v>-2903.462</v>
      </c>
      <c r="CS59" s="93">
        <v>0</v>
      </c>
      <c r="CT59" s="93"/>
      <c r="CV59" s="93">
        <f t="shared" si="0"/>
        <v>-2903.462</v>
      </c>
      <c r="CX59" s="93">
        <f t="shared" si="1"/>
        <v>-2903.462</v>
      </c>
      <c r="CY59" s="93">
        <f t="shared" si="2"/>
        <v>0</v>
      </c>
      <c r="CZ59" s="93"/>
      <c r="DA59" s="93"/>
    </row>
    <row r="60" spans="1:105" ht="8.25" customHeight="1">
      <c r="A60" s="319"/>
      <c r="CV60" s="93"/>
      <c r="CW60" s="247"/>
      <c r="CX60" s="93"/>
      <c r="CY60" s="93"/>
      <c r="DA60" s="93"/>
    </row>
    <row r="61" spans="1:105" ht="12.75">
      <c r="A61" s="318" t="s">
        <v>476</v>
      </c>
      <c r="B61" s="93">
        <f>11807.228+3304536.889</f>
        <v>3316344.117</v>
      </c>
      <c r="C61" s="219">
        <v>0</v>
      </c>
      <c r="D61" s="93">
        <v>2706298</v>
      </c>
      <c r="E61" s="219">
        <v>2294815</v>
      </c>
      <c r="F61" s="219">
        <v>391433</v>
      </c>
      <c r="G61" s="219">
        <v>2268</v>
      </c>
      <c r="H61" s="219">
        <v>388</v>
      </c>
      <c r="I61" s="219">
        <v>17394</v>
      </c>
      <c r="J61" s="93">
        <v>1914325.165</v>
      </c>
      <c r="K61" s="219">
        <v>1174.709</v>
      </c>
      <c r="L61" s="93">
        <v>1669254.508</v>
      </c>
      <c r="M61" s="219">
        <v>1665434.42</v>
      </c>
      <c r="N61" s="219">
        <v>2088.041</v>
      </c>
      <c r="O61" s="219">
        <v>1732.047</v>
      </c>
      <c r="P61" s="93">
        <v>1636436.943</v>
      </c>
      <c r="Q61" s="219">
        <v>78.876</v>
      </c>
      <c r="R61" s="93">
        <v>779561.44</v>
      </c>
      <c r="S61" s="219"/>
      <c r="T61" s="93">
        <f>691898.47</f>
        <v>691898.47</v>
      </c>
      <c r="U61" s="219">
        <v>16.606</v>
      </c>
      <c r="V61" s="93">
        <v>711453.739</v>
      </c>
      <c r="W61" s="219">
        <v>616209.372</v>
      </c>
      <c r="X61" s="219">
        <v>95244.367</v>
      </c>
      <c r="Y61" s="93">
        <v>631244.883</v>
      </c>
      <c r="Z61" s="219"/>
      <c r="AA61" s="93">
        <v>565531.089</v>
      </c>
      <c r="AB61" s="219"/>
      <c r="AC61" s="93">
        <v>559233.6</v>
      </c>
      <c r="AD61" s="93">
        <v>500024.04</v>
      </c>
      <c r="AE61" s="219">
        <v>145</v>
      </c>
      <c r="AF61" s="93">
        <v>473115</v>
      </c>
      <c r="AG61" s="93">
        <v>469173.725</v>
      </c>
      <c r="AH61" s="93">
        <v>443262.07</v>
      </c>
      <c r="AI61" s="93">
        <v>428702.718</v>
      </c>
      <c r="AJ61" s="219">
        <v>0</v>
      </c>
      <c r="AK61" s="93">
        <v>398152.381</v>
      </c>
      <c r="AL61" s="219">
        <v>103.894</v>
      </c>
      <c r="AM61" s="93">
        <v>331005.704</v>
      </c>
      <c r="AN61" s="219">
        <v>318494</v>
      </c>
      <c r="AO61" s="93">
        <v>304808.919</v>
      </c>
      <c r="AP61" s="219">
        <v>286501</v>
      </c>
      <c r="AQ61" s="93">
        <v>273000.12</v>
      </c>
      <c r="AR61" s="93">
        <v>286240.373</v>
      </c>
      <c r="AS61" s="219">
        <v>31.341</v>
      </c>
      <c r="AT61" s="93">
        <v>263353.772</v>
      </c>
      <c r="AU61" s="219">
        <v>52.177</v>
      </c>
      <c r="AV61" s="93">
        <v>238200</v>
      </c>
      <c r="AW61" s="219"/>
      <c r="AX61" s="93">
        <v>246824.716</v>
      </c>
      <c r="AY61" s="93">
        <v>217182.848</v>
      </c>
      <c r="AZ61" s="219">
        <v>187548.446</v>
      </c>
      <c r="BA61" s="93">
        <v>207336.427</v>
      </c>
      <c r="BB61" s="93">
        <v>148684.061</v>
      </c>
      <c r="BC61" s="219">
        <f>148684.061-2777.776</f>
        <v>145906.28499999997</v>
      </c>
      <c r="BD61" s="93">
        <v>128569.631</v>
      </c>
      <c r="BE61" s="219"/>
      <c r="BF61" s="93">
        <v>124275.62</v>
      </c>
      <c r="BG61" s="219"/>
      <c r="BH61" s="93">
        <v>120385.688</v>
      </c>
      <c r="BI61" s="219"/>
      <c r="BJ61" s="93">
        <v>123271.623</v>
      </c>
      <c r="BK61" s="93">
        <v>108354.376</v>
      </c>
      <c r="BL61" s="219">
        <v>98946.426</v>
      </c>
      <c r="BM61" s="219">
        <v>9407.95</v>
      </c>
      <c r="BN61" s="93">
        <v>101034.447</v>
      </c>
      <c r="BO61" s="93">
        <v>79915.27</v>
      </c>
      <c r="BP61" s="93">
        <v>80865.589</v>
      </c>
      <c r="BQ61" s="93">
        <v>71720.472</v>
      </c>
      <c r="BR61" s="93">
        <v>39687.43</v>
      </c>
      <c r="BS61" s="219">
        <v>34488.808</v>
      </c>
      <c r="BT61" s="219">
        <v>4688.579</v>
      </c>
      <c r="BU61" s="219">
        <v>510.043</v>
      </c>
      <c r="BV61" s="93">
        <v>60621.263</v>
      </c>
      <c r="BW61" s="93">
        <v>53137.275</v>
      </c>
      <c r="BX61" s="93">
        <v>47688.322</v>
      </c>
      <c r="BY61" s="219">
        <f>47688.322-4239.492</f>
        <v>43448.83</v>
      </c>
      <c r="BZ61" s="93">
        <v>49050.6</v>
      </c>
      <c r="CA61" s="219">
        <f>+BZ61-CB61</f>
        <v>3328.851999999999</v>
      </c>
      <c r="CB61" s="219">
        <v>45721.748</v>
      </c>
      <c r="CC61" s="93">
        <v>47716.494</v>
      </c>
      <c r="CD61" s="93">
        <v>43638.758</v>
      </c>
      <c r="CE61" s="219">
        <v>43638.758</v>
      </c>
      <c r="CF61" s="93">
        <v>41707.695</v>
      </c>
      <c r="CG61" s="93">
        <v>30141.304</v>
      </c>
      <c r="CH61" s="93">
        <v>26754.162</v>
      </c>
      <c r="CI61" s="93">
        <v>23464.209</v>
      </c>
      <c r="CJ61" s="93">
        <v>18724.138</v>
      </c>
      <c r="CK61" s="93">
        <v>18653.97</v>
      </c>
      <c r="CL61" s="93">
        <v>16813.772</v>
      </c>
      <c r="CM61" s="93">
        <v>11411.046</v>
      </c>
      <c r="CN61" s="93">
        <v>6732.729</v>
      </c>
      <c r="CO61" s="93">
        <v>5070.444</v>
      </c>
      <c r="CP61" s="93">
        <v>1532.322</v>
      </c>
      <c r="CQ61" s="219">
        <v>0</v>
      </c>
      <c r="CR61" s="93">
        <v>3416.174</v>
      </c>
      <c r="CS61" s="241">
        <v>356.482</v>
      </c>
      <c r="CT61" s="241"/>
      <c r="CV61" s="93">
        <f t="shared" si="0"/>
        <v>21895360.132999998</v>
      </c>
      <c r="CW61" s="247"/>
      <c r="CX61" s="93">
        <f t="shared" si="1"/>
        <v>3462683.0250000004</v>
      </c>
      <c r="CY61" s="93">
        <f t="shared" si="2"/>
        <v>18432677.108</v>
      </c>
      <c r="CZ61" s="93"/>
      <c r="DA61" s="93"/>
    </row>
    <row r="62" spans="1:105" ht="8.25" customHeight="1">
      <c r="A62" s="319"/>
      <c r="CV62" s="93"/>
      <c r="CW62" s="248"/>
      <c r="CX62" s="93"/>
      <c r="CY62" s="93"/>
      <c r="DA62" s="93"/>
    </row>
    <row r="63" spans="1:105" ht="12.75">
      <c r="A63" s="318" t="s">
        <v>477</v>
      </c>
      <c r="B63" s="93">
        <f aca="true" t="shared" si="23" ref="B63:AX63">B55+B57+B61</f>
        <v>8508513.59</v>
      </c>
      <c r="C63" s="219">
        <f>C55+C57+C61</f>
        <v>206276.762</v>
      </c>
      <c r="D63" s="93">
        <f t="shared" si="23"/>
        <v>14982050</v>
      </c>
      <c r="E63" s="219">
        <f t="shared" si="23"/>
        <v>10298766</v>
      </c>
      <c r="F63" s="219">
        <f t="shared" si="23"/>
        <v>4411985</v>
      </c>
      <c r="G63" s="219">
        <f t="shared" si="23"/>
        <v>35963</v>
      </c>
      <c r="H63" s="219">
        <f t="shared" si="23"/>
        <v>6539</v>
      </c>
      <c r="I63" s="219">
        <f>I55+I57+I61</f>
        <v>228797</v>
      </c>
      <c r="J63" s="93">
        <f t="shared" si="23"/>
        <v>2505796.2649999997</v>
      </c>
      <c r="K63" s="219">
        <f>K55+K57+K61</f>
        <v>21553.821000000004</v>
      </c>
      <c r="L63" s="93">
        <f t="shared" si="23"/>
        <v>2536959.7339999997</v>
      </c>
      <c r="M63" s="219">
        <f t="shared" si="23"/>
        <v>2414494.5330000003</v>
      </c>
      <c r="N63" s="219">
        <f t="shared" si="23"/>
        <v>106833.71099999998</v>
      </c>
      <c r="O63" s="219">
        <f>O55+O57+O61</f>
        <v>15631.442</v>
      </c>
      <c r="P63" s="93">
        <f t="shared" si="23"/>
        <v>2222832.6909999996</v>
      </c>
      <c r="Q63" s="219">
        <f>Q55+Q57+Q61</f>
        <v>2838.411</v>
      </c>
      <c r="R63" s="93">
        <f t="shared" si="23"/>
        <v>771181.5020000001</v>
      </c>
      <c r="S63" s="219">
        <f>S55+S57+S61</f>
        <v>72684.98599999999</v>
      </c>
      <c r="T63" s="93">
        <f t="shared" si="23"/>
        <v>1972806.7889999999</v>
      </c>
      <c r="U63" s="219">
        <f>U55+U57+U61</f>
        <v>8102.5070000000005</v>
      </c>
      <c r="V63" s="93">
        <f t="shared" si="23"/>
        <v>445711.989</v>
      </c>
      <c r="W63" s="219">
        <f t="shared" si="23"/>
        <v>101918.59199999983</v>
      </c>
      <c r="X63" s="219">
        <f t="shared" si="23"/>
        <v>343793.397</v>
      </c>
      <c r="Y63" s="93">
        <f t="shared" si="23"/>
        <v>1733264.8169999998</v>
      </c>
      <c r="Z63" s="219">
        <f>Z55+Z57+Z61</f>
        <v>37318.573</v>
      </c>
      <c r="AA63" s="93">
        <f t="shared" si="23"/>
        <v>1035322.4160000001</v>
      </c>
      <c r="AB63" s="219">
        <f>AB55+AB57+AB61</f>
        <v>204341.001</v>
      </c>
      <c r="AC63" s="93">
        <f t="shared" si="23"/>
        <v>385597.75599999994</v>
      </c>
      <c r="AD63" s="93">
        <f t="shared" si="23"/>
        <v>79642.65299999987</v>
      </c>
      <c r="AE63" s="219">
        <f>AE55+AE57+AE61</f>
        <v>2671</v>
      </c>
      <c r="AF63" s="93">
        <f t="shared" si="23"/>
        <v>363926</v>
      </c>
      <c r="AG63" s="93">
        <f t="shared" si="23"/>
        <v>138110.109</v>
      </c>
      <c r="AH63" s="93">
        <f t="shared" si="23"/>
        <v>357394.58999999997</v>
      </c>
      <c r="AI63" s="93">
        <f t="shared" si="23"/>
        <v>335265.4570000001</v>
      </c>
      <c r="AJ63" s="219">
        <f>AJ55+AJ57+AJ61</f>
        <v>53411.611</v>
      </c>
      <c r="AK63" s="93">
        <f t="shared" si="23"/>
        <v>591240.865</v>
      </c>
      <c r="AL63" s="219">
        <f>AL55+AL57+AL61</f>
        <v>2448.004000000001</v>
      </c>
      <c r="AM63" s="93">
        <f t="shared" si="23"/>
        <v>1398415.0309999995</v>
      </c>
      <c r="AN63" s="219">
        <f>AN55+AN57+AN61</f>
        <v>1039040</v>
      </c>
      <c r="AO63" s="93">
        <f t="shared" si="23"/>
        <v>1885909.5650000004</v>
      </c>
      <c r="AP63" s="219">
        <f>AP55+AP57+AP61</f>
        <v>1364216</v>
      </c>
      <c r="AQ63" s="93">
        <f t="shared" si="23"/>
        <v>1184990.3479999998</v>
      </c>
      <c r="AR63" s="93">
        <f t="shared" si="23"/>
        <v>289116.58</v>
      </c>
      <c r="AS63" s="219">
        <f>AS55+AS57+AS61</f>
        <v>1331.28</v>
      </c>
      <c r="AT63" s="93">
        <f t="shared" si="23"/>
        <v>619036.6919999999</v>
      </c>
      <c r="AU63" s="219">
        <f>AU55+AU57+AU61</f>
        <v>2946.2590000000005</v>
      </c>
      <c r="AV63" s="93">
        <f t="shared" si="23"/>
        <v>1017054</v>
      </c>
      <c r="AW63" s="219">
        <f>AW55+AW57+AW61</f>
        <v>741655</v>
      </c>
      <c r="AX63" s="93">
        <f t="shared" si="23"/>
        <v>91865.58300000004</v>
      </c>
      <c r="AY63" s="93">
        <f aca="true" t="shared" si="24" ref="AY63:CL63">AY55+AY57+AY61</f>
        <v>461591.82300000003</v>
      </c>
      <c r="AZ63" s="219">
        <f>AZ55+AZ57+AZ61</f>
        <v>156827.987</v>
      </c>
      <c r="BA63" s="93">
        <f t="shared" si="24"/>
        <v>276921.62399999995</v>
      </c>
      <c r="BB63" s="93">
        <f t="shared" si="24"/>
        <v>701062.079</v>
      </c>
      <c r="BC63" s="219">
        <f>BC55+BC57+BC61</f>
        <v>583597.3929999999</v>
      </c>
      <c r="BD63" s="93">
        <f t="shared" si="24"/>
        <v>261938.66999999995</v>
      </c>
      <c r="BE63" s="219">
        <f>BE55+BE57+BE61</f>
        <v>556.316</v>
      </c>
      <c r="BF63" s="93">
        <f t="shared" si="24"/>
        <v>341001.656</v>
      </c>
      <c r="BG63" s="219">
        <f>BG55+BG57+BG61</f>
        <v>32077.837</v>
      </c>
      <c r="BH63" s="93">
        <f t="shared" si="24"/>
        <v>256972.81499999994</v>
      </c>
      <c r="BI63" s="219">
        <f>BI55+BI57+BI61</f>
        <v>23711.87</v>
      </c>
      <c r="BJ63" s="93">
        <f t="shared" si="24"/>
        <v>1812.532999999923</v>
      </c>
      <c r="BK63" s="93">
        <f t="shared" si="24"/>
        <v>-213437.711</v>
      </c>
      <c r="BL63" s="219">
        <f t="shared" si="24"/>
        <v>-217578.71099999998</v>
      </c>
      <c r="BM63" s="219">
        <f t="shared" si="24"/>
        <v>4140.999999999997</v>
      </c>
      <c r="BN63" s="93">
        <f t="shared" si="24"/>
        <v>-162963.75</v>
      </c>
      <c r="BO63" s="93">
        <f t="shared" si="24"/>
        <v>51688.59900000002</v>
      </c>
      <c r="BP63" s="93">
        <f t="shared" si="24"/>
        <v>8405.00900000002</v>
      </c>
      <c r="BQ63" s="93">
        <f t="shared" si="24"/>
        <v>229267.97000000003</v>
      </c>
      <c r="BR63" s="93">
        <f t="shared" si="24"/>
        <v>907420.7760000001</v>
      </c>
      <c r="BS63" s="219">
        <f t="shared" si="24"/>
        <v>825114.9910000002</v>
      </c>
      <c r="BT63" s="219">
        <f t="shared" si="24"/>
        <v>69755.538</v>
      </c>
      <c r="BU63" s="219">
        <f>BU55+BU57+BU61</f>
        <v>12550.247999999998</v>
      </c>
      <c r="BV63" s="93">
        <f t="shared" si="24"/>
        <v>-69232.76500000001</v>
      </c>
      <c r="BW63" s="93">
        <f t="shared" si="24"/>
        <v>94343.41399999999</v>
      </c>
      <c r="BX63" s="93">
        <f t="shared" si="24"/>
        <v>277133.726</v>
      </c>
      <c r="BY63" s="219">
        <f>BY55+BY57+BY61</f>
        <v>197694.40499999997</v>
      </c>
      <c r="BZ63" s="93">
        <f t="shared" si="24"/>
        <v>107419.128</v>
      </c>
      <c r="CA63" s="219">
        <f t="shared" si="24"/>
        <v>40665.376000000004</v>
      </c>
      <c r="CB63" s="219">
        <f t="shared" si="24"/>
        <v>66753.75199999998</v>
      </c>
      <c r="CC63" s="93">
        <f t="shared" si="24"/>
        <v>27146.40499999999</v>
      </c>
      <c r="CD63" s="93">
        <f t="shared" si="24"/>
        <v>-3756.418000000005</v>
      </c>
      <c r="CE63" s="219">
        <f>CE55+CE57+CE61</f>
        <v>-26094.093999999983</v>
      </c>
      <c r="CF63" s="93">
        <f t="shared" si="24"/>
        <v>71303.117</v>
      </c>
      <c r="CG63" s="93">
        <f t="shared" si="24"/>
        <v>53117.371000000014</v>
      </c>
      <c r="CH63" s="93">
        <f t="shared" si="24"/>
        <v>-26706.491000000005</v>
      </c>
      <c r="CI63" s="93">
        <f t="shared" si="24"/>
        <v>8535.222999999993</v>
      </c>
      <c r="CJ63" s="93">
        <f t="shared" si="24"/>
        <v>19451.227000000003</v>
      </c>
      <c r="CK63" s="93">
        <f t="shared" si="24"/>
        <v>-13858.116000000002</v>
      </c>
      <c r="CL63" s="93">
        <f t="shared" si="24"/>
        <v>12933.61200000001</v>
      </c>
      <c r="CM63" s="93">
        <f aca="true" t="shared" si="25" ref="CM63:CS63">CM55+CM57+CM61</f>
        <v>15873.752</v>
      </c>
      <c r="CN63" s="93">
        <f t="shared" si="25"/>
        <v>1783.8509999999978</v>
      </c>
      <c r="CO63" s="93">
        <f t="shared" si="25"/>
        <v>-25231.477000000006</v>
      </c>
      <c r="CP63" s="93">
        <f t="shared" si="25"/>
        <v>-22361.729</v>
      </c>
      <c r="CQ63" s="219">
        <f>CQ55+CQ57+CQ61</f>
        <v>-23929.683</v>
      </c>
      <c r="CR63" s="93">
        <f t="shared" si="25"/>
        <v>-12630.911</v>
      </c>
      <c r="CS63" s="93">
        <f t="shared" si="25"/>
        <v>-1303.333</v>
      </c>
      <c r="CT63" s="93"/>
      <c r="CV63" s="93">
        <f t="shared" si="0"/>
        <v>49087646.70100001</v>
      </c>
      <c r="CW63" s="93"/>
      <c r="CX63" s="93">
        <f t="shared" si="1"/>
        <v>17238739.378999997</v>
      </c>
      <c r="CY63" s="93">
        <f t="shared" si="2"/>
        <v>31848907.322</v>
      </c>
      <c r="CZ63" s="93"/>
      <c r="DA63" s="93"/>
    </row>
    <row r="64" spans="1:105" ht="8.25" customHeight="1">
      <c r="A64" s="318"/>
      <c r="CV64" s="93"/>
      <c r="CW64" s="93"/>
      <c r="CX64" s="93"/>
      <c r="CY64" s="93"/>
      <c r="DA64" s="93"/>
    </row>
    <row r="65" spans="1:105" ht="12.75">
      <c r="A65" s="318" t="s">
        <v>478</v>
      </c>
      <c r="B65" s="93">
        <f>75604040.748+1570586+3616</f>
        <v>77178242.748</v>
      </c>
      <c r="C65" s="219">
        <v>144533.069</v>
      </c>
      <c r="D65" s="93">
        <v>61105843.680999994</v>
      </c>
      <c r="E65" s="219">
        <v>52780488</v>
      </c>
      <c r="F65" s="219">
        <v>8065388</v>
      </c>
      <c r="G65" s="219">
        <v>39776</v>
      </c>
      <c r="H65" s="219">
        <v>6627</v>
      </c>
      <c r="I65" s="219">
        <v>213565</v>
      </c>
      <c r="J65" s="93">
        <v>45578662.67</v>
      </c>
      <c r="K65" s="219">
        <v>19333.015</v>
      </c>
      <c r="L65" s="93">
        <v>39546394.131</v>
      </c>
      <c r="M65" s="219">
        <v>39511546.88</v>
      </c>
      <c r="N65" s="219">
        <v>0</v>
      </c>
      <c r="O65" s="219">
        <v>34847.251</v>
      </c>
      <c r="P65" s="93">
        <v>38938962.862</v>
      </c>
      <c r="Q65" s="219">
        <v>690.473</v>
      </c>
      <c r="R65" s="93">
        <v>18733051.8</v>
      </c>
      <c r="S65" s="219">
        <v>8131.71</v>
      </c>
      <c r="T65" s="93">
        <f>17104879.365+165042.607</f>
        <v>17269921.972</v>
      </c>
      <c r="U65" s="219">
        <v>11503.547</v>
      </c>
      <c r="V65" s="93">
        <v>17152927.465</v>
      </c>
      <c r="W65" s="219">
        <v>14998677.826</v>
      </c>
      <c r="X65" s="219">
        <v>2154249.64</v>
      </c>
      <c r="Y65" s="93">
        <v>14543967.708</v>
      </c>
      <c r="Z65" s="219">
        <v>26915.934</v>
      </c>
      <c r="AA65" s="93">
        <v>14568854.772</v>
      </c>
      <c r="AB65" s="219">
        <v>323430.869</v>
      </c>
      <c r="AC65" s="93">
        <v>13468985.357</v>
      </c>
      <c r="AD65" s="93">
        <v>12158485.009</v>
      </c>
      <c r="AE65" s="219">
        <v>2136</v>
      </c>
      <c r="AF65" s="93">
        <v>11378547.701</v>
      </c>
      <c r="AG65" s="93">
        <v>11379958.215</v>
      </c>
      <c r="AH65" s="93">
        <v>10656111.397</v>
      </c>
      <c r="AI65" s="93">
        <v>10308089.395</v>
      </c>
      <c r="AJ65" s="219">
        <v>31452.117</v>
      </c>
      <c r="AK65" s="93">
        <v>9454707.752</v>
      </c>
      <c r="AL65" s="219">
        <v>1475.865</v>
      </c>
      <c r="AM65" s="93">
        <v>7464141.726</v>
      </c>
      <c r="AN65" s="219">
        <v>7335226</v>
      </c>
      <c r="AO65" s="93">
        <v>6617626.916</v>
      </c>
      <c r="AP65" s="219">
        <v>6397789</v>
      </c>
      <c r="AQ65" s="93">
        <v>6319783.056</v>
      </c>
      <c r="AR65" s="93">
        <v>6900107.050999999</v>
      </c>
      <c r="AS65" s="219">
        <v>1090.303</v>
      </c>
      <c r="AT65" s="93">
        <v>6153905.3100000005</v>
      </c>
      <c r="AU65" s="219"/>
      <c r="AV65" s="93">
        <v>5440357</v>
      </c>
      <c r="AW65" s="219">
        <v>5390676</v>
      </c>
      <c r="AX65" s="93">
        <v>5978913.729</v>
      </c>
      <c r="AY65" s="93">
        <v>5096100.049</v>
      </c>
      <c r="AZ65" s="219">
        <v>4505169.59</v>
      </c>
      <c r="BA65" s="93">
        <v>4935652.306</v>
      </c>
      <c r="BB65" s="93">
        <v>3322550.51</v>
      </c>
      <c r="BC65" s="219">
        <f>3322550.51-9889.646</f>
        <v>3312660.8639999996</v>
      </c>
      <c r="BD65" s="93">
        <v>3029798.1110000005</v>
      </c>
      <c r="BE65" s="219">
        <v>360.326</v>
      </c>
      <c r="BF65" s="93">
        <v>2873725.847</v>
      </c>
      <c r="BG65" s="219">
        <v>25854.708</v>
      </c>
      <c r="BH65" s="93">
        <f>2843557.577</f>
        <v>2843557.577</v>
      </c>
      <c r="BI65" s="219">
        <v>20833.489</v>
      </c>
      <c r="BJ65" s="93">
        <v>3004878.7060000002</v>
      </c>
      <c r="BK65" s="93">
        <v>2734930.638</v>
      </c>
      <c r="BL65" s="219">
        <v>2507316.638</v>
      </c>
      <c r="BM65" s="219">
        <v>227614</v>
      </c>
      <c r="BN65" s="93">
        <v>2533834.194</v>
      </c>
      <c r="BO65" s="93">
        <v>1941745.286</v>
      </c>
      <c r="BP65" s="93">
        <v>1969065.521</v>
      </c>
      <c r="BQ65" s="93">
        <v>1645907.111</v>
      </c>
      <c r="BR65" s="93">
        <v>575842.6259999999</v>
      </c>
      <c r="BS65" s="219">
        <v>484151.58</v>
      </c>
      <c r="BT65" s="219">
        <v>84674.278</v>
      </c>
      <c r="BU65" s="219">
        <v>7016.768</v>
      </c>
      <c r="BV65" s="93">
        <v>1508002.205</v>
      </c>
      <c r="BW65" s="93">
        <v>1254878.1639999999</v>
      </c>
      <c r="BX65" s="93">
        <v>1033815.554</v>
      </c>
      <c r="BY65" s="219">
        <v>1033815.555</v>
      </c>
      <c r="BZ65" s="93">
        <v>1144350.632</v>
      </c>
      <c r="CA65" s="219">
        <f>+BZ65-CB65</f>
        <v>61764.658000000054</v>
      </c>
      <c r="CB65" s="219">
        <v>1082585.974</v>
      </c>
      <c r="CC65" s="93">
        <v>1158585.3490000002</v>
      </c>
      <c r="CD65" s="93">
        <v>1071768.286</v>
      </c>
      <c r="CE65" s="219">
        <v>1069744.571</v>
      </c>
      <c r="CF65" s="93">
        <v>986069.7</v>
      </c>
      <c r="CG65" s="93">
        <v>712937.021</v>
      </c>
      <c r="CH65" s="93">
        <v>663861.958</v>
      </c>
      <c r="CI65" s="93">
        <v>573198.334</v>
      </c>
      <c r="CJ65" s="93">
        <v>448140.628</v>
      </c>
      <c r="CK65" s="93">
        <v>460896.326</v>
      </c>
      <c r="CL65" s="93">
        <v>404826.634</v>
      </c>
      <c r="CM65" s="93">
        <v>271325.78</v>
      </c>
      <c r="CN65" s="93">
        <v>163389.986</v>
      </c>
      <c r="CO65" s="93">
        <v>134524.91599999997</v>
      </c>
      <c r="CP65" s="93">
        <v>106532.07900000001</v>
      </c>
      <c r="CQ65" s="219">
        <v>91040.053</v>
      </c>
      <c r="CR65" s="93">
        <v>88750.40299999999</v>
      </c>
      <c r="CS65" s="93">
        <v>10213.533000000001</v>
      </c>
      <c r="CT65" s="93"/>
      <c r="CV65" s="93">
        <f t="shared" si="0"/>
        <v>517000205.39299995</v>
      </c>
      <c r="CW65" s="93"/>
      <c r="CX65" s="93">
        <f t="shared" si="1"/>
        <v>78744549.493</v>
      </c>
      <c r="CY65" s="93">
        <f t="shared" si="2"/>
        <v>438255655.9</v>
      </c>
      <c r="CZ65" s="93"/>
      <c r="DA65" s="93"/>
    </row>
    <row r="66" spans="1:105" ht="4.5" customHeight="1">
      <c r="A66" s="322"/>
      <c r="CV66" s="93"/>
      <c r="CW66" s="222"/>
      <c r="CX66" s="93"/>
      <c r="CY66" s="93"/>
      <c r="DA66" s="93"/>
    </row>
    <row r="67" spans="1:105" ht="12.75">
      <c r="A67" s="318" t="s">
        <v>479</v>
      </c>
      <c r="CV67" s="93"/>
      <c r="CW67" s="222"/>
      <c r="CX67" s="93"/>
      <c r="CY67" s="93"/>
      <c r="DA67" s="93"/>
    </row>
    <row r="68" spans="1:105" ht="12.75">
      <c r="A68" s="318" t="s">
        <v>480</v>
      </c>
      <c r="B68" s="93">
        <f aca="true" t="shared" si="26" ref="B68:BM68">B65+B63</f>
        <v>85686756.338</v>
      </c>
      <c r="C68" s="219">
        <f t="shared" si="26"/>
        <v>350809.831</v>
      </c>
      <c r="D68" s="93">
        <f t="shared" si="26"/>
        <v>76087893.681</v>
      </c>
      <c r="E68" s="219">
        <f t="shared" si="26"/>
        <v>63079254</v>
      </c>
      <c r="F68" s="219">
        <f t="shared" si="26"/>
        <v>12477373</v>
      </c>
      <c r="G68" s="219">
        <f t="shared" si="26"/>
        <v>75739</v>
      </c>
      <c r="H68" s="219">
        <f t="shared" si="26"/>
        <v>13166</v>
      </c>
      <c r="I68" s="219">
        <f t="shared" si="26"/>
        <v>442362</v>
      </c>
      <c r="J68" s="93">
        <f>J65+J63+1</f>
        <v>48084459.935</v>
      </c>
      <c r="K68" s="219">
        <f>K65+K63</f>
        <v>40886.836</v>
      </c>
      <c r="L68" s="93">
        <f t="shared" si="26"/>
        <v>42083353.864999995</v>
      </c>
      <c r="M68" s="219">
        <f t="shared" si="26"/>
        <v>41926041.413</v>
      </c>
      <c r="N68" s="219">
        <f t="shared" si="26"/>
        <v>106833.71099999998</v>
      </c>
      <c r="O68" s="219">
        <f t="shared" si="26"/>
        <v>50478.693</v>
      </c>
      <c r="P68" s="93">
        <f t="shared" si="26"/>
        <v>41161795.553</v>
      </c>
      <c r="Q68" s="219">
        <f t="shared" si="26"/>
        <v>3528.884</v>
      </c>
      <c r="R68" s="93">
        <f t="shared" si="26"/>
        <v>19504233.302</v>
      </c>
      <c r="S68" s="219">
        <f t="shared" si="26"/>
        <v>80816.696</v>
      </c>
      <c r="T68" s="93">
        <f t="shared" si="26"/>
        <v>19242728.761</v>
      </c>
      <c r="U68" s="219">
        <f t="shared" si="26"/>
        <v>19606.054</v>
      </c>
      <c r="V68" s="93">
        <f t="shared" si="26"/>
        <v>17598639.454</v>
      </c>
      <c r="W68" s="219">
        <f t="shared" si="26"/>
        <v>15100596.418</v>
      </c>
      <c r="X68" s="219">
        <f t="shared" si="26"/>
        <v>2498043.037</v>
      </c>
      <c r="Y68" s="93">
        <f>Y65+Y63</f>
        <v>16277232.525</v>
      </c>
      <c r="Z68" s="219">
        <f>Z65+Z63</f>
        <v>64234.507</v>
      </c>
      <c r="AA68" s="93">
        <f t="shared" si="26"/>
        <v>15604177.188</v>
      </c>
      <c r="AB68" s="219">
        <f t="shared" si="26"/>
        <v>527771.87</v>
      </c>
      <c r="AC68" s="93">
        <f t="shared" si="26"/>
        <v>13854583.113</v>
      </c>
      <c r="AD68" s="93">
        <f t="shared" si="26"/>
        <v>12238127.661999999</v>
      </c>
      <c r="AE68" s="219">
        <f t="shared" si="26"/>
        <v>4807</v>
      </c>
      <c r="AF68" s="93">
        <f>AF65+AF63</f>
        <v>11742473.701</v>
      </c>
      <c r="AG68" s="93">
        <f t="shared" si="26"/>
        <v>11518068.324</v>
      </c>
      <c r="AH68" s="93">
        <f>AH65+AH63</f>
        <v>11013505.987</v>
      </c>
      <c r="AI68" s="93">
        <f t="shared" si="26"/>
        <v>10643354.852</v>
      </c>
      <c r="AJ68" s="219">
        <f t="shared" si="26"/>
        <v>84863.728</v>
      </c>
      <c r="AK68" s="93">
        <f t="shared" si="26"/>
        <v>10045948.617</v>
      </c>
      <c r="AL68" s="219">
        <f t="shared" si="26"/>
        <v>3923.8690000000006</v>
      </c>
      <c r="AM68" s="93">
        <f t="shared" si="26"/>
        <v>8862556.757</v>
      </c>
      <c r="AN68" s="219">
        <f t="shared" si="26"/>
        <v>8374266</v>
      </c>
      <c r="AO68" s="93">
        <f>AO65+AO63</f>
        <v>8503536.481</v>
      </c>
      <c r="AP68" s="219">
        <f>AP65+AP63</f>
        <v>7762005</v>
      </c>
      <c r="AQ68" s="93">
        <f>AQ65+AQ63</f>
        <v>7504773.403999999</v>
      </c>
      <c r="AR68" s="93">
        <f t="shared" si="26"/>
        <v>7189223.630999999</v>
      </c>
      <c r="AS68" s="219">
        <f t="shared" si="26"/>
        <v>2421.583</v>
      </c>
      <c r="AT68" s="93">
        <f t="shared" si="26"/>
        <v>6772942.002</v>
      </c>
      <c r="AU68" s="219">
        <f t="shared" si="26"/>
        <v>2946.2590000000005</v>
      </c>
      <c r="AV68" s="93">
        <f>AV65+AV63</f>
        <v>6457411</v>
      </c>
      <c r="AW68" s="219">
        <f>AW65+AW63</f>
        <v>6132331</v>
      </c>
      <c r="AX68" s="93">
        <f t="shared" si="26"/>
        <v>6070779.312</v>
      </c>
      <c r="AY68" s="93">
        <f t="shared" si="26"/>
        <v>5557691.8719999995</v>
      </c>
      <c r="AZ68" s="219">
        <f t="shared" si="26"/>
        <v>4661997.577</v>
      </c>
      <c r="BA68" s="93">
        <f t="shared" si="26"/>
        <v>5212573.93</v>
      </c>
      <c r="BB68" s="93">
        <f t="shared" si="26"/>
        <v>4023612.5889999997</v>
      </c>
      <c r="BC68" s="219">
        <f t="shared" si="26"/>
        <v>3896258.2569999993</v>
      </c>
      <c r="BD68" s="93">
        <f t="shared" si="26"/>
        <v>3291736.7810000004</v>
      </c>
      <c r="BE68" s="219">
        <f t="shared" si="26"/>
        <v>916.642</v>
      </c>
      <c r="BF68" s="93">
        <f>BF65+BF63</f>
        <v>3214727.503</v>
      </c>
      <c r="BG68" s="219">
        <f>BG65+BG63</f>
        <v>57932.545</v>
      </c>
      <c r="BH68" s="93">
        <f>BH65+BH63</f>
        <v>3100530.392</v>
      </c>
      <c r="BI68" s="219">
        <f>BI65+BI63</f>
        <v>44545.359</v>
      </c>
      <c r="BJ68" s="93">
        <f t="shared" si="26"/>
        <v>3006691.239</v>
      </c>
      <c r="BK68" s="93">
        <f t="shared" si="26"/>
        <v>2521492.9269999997</v>
      </c>
      <c r="BL68" s="219">
        <f t="shared" si="26"/>
        <v>2289737.9269999997</v>
      </c>
      <c r="BM68" s="219">
        <f t="shared" si="26"/>
        <v>231755</v>
      </c>
      <c r="BN68" s="93">
        <f aca="true" t="shared" si="27" ref="BN68:CR68">BN65+BN63</f>
        <v>2370870.444</v>
      </c>
      <c r="BO68" s="93">
        <f>BO65+BO63</f>
        <v>1993433.885</v>
      </c>
      <c r="BP68" s="93">
        <f t="shared" si="27"/>
        <v>1977470.53</v>
      </c>
      <c r="BQ68" s="93">
        <f t="shared" si="27"/>
        <v>1875175.081</v>
      </c>
      <c r="BR68" s="93">
        <f>BR65+BR63</f>
        <v>1483263.402</v>
      </c>
      <c r="BS68" s="219">
        <f>BS65+BS63</f>
        <v>1309266.5710000002</v>
      </c>
      <c r="BT68" s="219">
        <f>BT65+BT63</f>
        <v>154429.816</v>
      </c>
      <c r="BU68" s="219">
        <f>BU65+BU63</f>
        <v>19567.015999999996</v>
      </c>
      <c r="BV68" s="93">
        <f>BV65+BV63</f>
        <v>1438769.44</v>
      </c>
      <c r="BW68" s="93">
        <f t="shared" si="27"/>
        <v>1349221.5779999997</v>
      </c>
      <c r="BX68" s="93">
        <f>BX65+BX63</f>
        <v>1310949.28</v>
      </c>
      <c r="BY68" s="219">
        <f>BY65+BY63</f>
        <v>1231509.96</v>
      </c>
      <c r="BZ68" s="93">
        <f>BZ65+BZ63</f>
        <v>1251769.76</v>
      </c>
      <c r="CA68" s="219">
        <f>CA65+CA63</f>
        <v>102430.03400000006</v>
      </c>
      <c r="CB68" s="219">
        <f>CB65+CB63</f>
        <v>1149339.7259999998</v>
      </c>
      <c r="CC68" s="93">
        <f t="shared" si="27"/>
        <v>1185731.7540000002</v>
      </c>
      <c r="CD68" s="93">
        <f t="shared" si="27"/>
        <v>1068011.868</v>
      </c>
      <c r="CE68" s="219">
        <f>CE65+CE63</f>
        <v>1043650.477</v>
      </c>
      <c r="CF68" s="93">
        <f t="shared" si="27"/>
        <v>1057372.817</v>
      </c>
      <c r="CG68" s="93">
        <f t="shared" si="27"/>
        <v>766054.392</v>
      </c>
      <c r="CH68" s="93">
        <f t="shared" si="27"/>
        <v>637155.467</v>
      </c>
      <c r="CI68" s="93">
        <f t="shared" si="27"/>
        <v>581733.557</v>
      </c>
      <c r="CJ68" s="93">
        <f>CJ65+CJ63</f>
        <v>467591.85500000004</v>
      </c>
      <c r="CK68" s="93">
        <f t="shared" si="27"/>
        <v>447038.21</v>
      </c>
      <c r="CL68" s="93">
        <f t="shared" si="27"/>
        <v>417760.24600000004</v>
      </c>
      <c r="CM68" s="93">
        <f t="shared" si="27"/>
        <v>287199.532</v>
      </c>
      <c r="CN68" s="93">
        <f t="shared" si="27"/>
        <v>165173.837</v>
      </c>
      <c r="CO68" s="93">
        <f t="shared" si="27"/>
        <v>109293.43899999995</v>
      </c>
      <c r="CP68" s="93">
        <f>CP65+CP63</f>
        <v>84170.35</v>
      </c>
      <c r="CQ68" s="219">
        <f>CQ65+CQ63</f>
        <v>67110.37</v>
      </c>
      <c r="CR68" s="93">
        <f t="shared" si="27"/>
        <v>76119.492</v>
      </c>
      <c r="CS68" s="93">
        <f>CS65+CS63</f>
        <v>8910.2</v>
      </c>
      <c r="CT68" s="93"/>
      <c r="CV68" s="93">
        <f t="shared" si="0"/>
        <v>566087853.0939999</v>
      </c>
      <c r="CW68" s="222"/>
      <c r="CX68" s="93">
        <f t="shared" si="1"/>
        <v>95983288.87200001</v>
      </c>
      <c r="CY68" s="93">
        <f t="shared" si="2"/>
        <v>470104564.2219998</v>
      </c>
      <c r="CZ68" s="93"/>
      <c r="DA68" s="93"/>
    </row>
    <row r="69" spans="100:105" ht="12.75">
      <c r="CV69" s="222"/>
      <c r="CW69" s="222"/>
      <c r="CX69" s="222"/>
      <c r="CY69" s="222"/>
      <c r="DA69" s="93"/>
    </row>
    <row r="70" spans="1:105" s="249" customFormat="1" ht="12.75" hidden="1">
      <c r="A70" s="249" t="s">
        <v>381</v>
      </c>
      <c r="B70" s="249">
        <f>+B68-'3.1 Balance sheet.'!B58</f>
        <v>0.2370000034570694</v>
      </c>
      <c r="C70" s="250">
        <f>+C68-'3.1 Balance sheet.'!C58</f>
        <v>0</v>
      </c>
      <c r="D70" s="249">
        <f>+D68-'3.1 Balance sheet.'!D58</f>
        <v>-0.3190000057220459</v>
      </c>
      <c r="E70" s="250">
        <f>+E68-'3.1 Balance sheet.'!E58</f>
        <v>0</v>
      </c>
      <c r="F70" s="250">
        <f>+F68-'3.1 Balance sheet.'!F58</f>
        <v>0</v>
      </c>
      <c r="G70" s="250">
        <f>+G68-'3.1 Balance sheet.'!G58</f>
        <v>0</v>
      </c>
      <c r="H70" s="250">
        <f>+H68-'3.1 Balance sheet.'!H58</f>
        <v>0</v>
      </c>
      <c r="I70" s="250">
        <f>+I68-'3.1 Balance sheet.'!I58</f>
        <v>0</v>
      </c>
      <c r="J70" s="249">
        <f>+J68-'3.1 Balance sheet.'!J58</f>
        <v>0.33399999886751175</v>
      </c>
      <c r="K70" s="250">
        <f>+K68-'3.1 Balance sheet.'!K58</f>
        <v>0.000999999996565748</v>
      </c>
      <c r="L70" s="249">
        <f>+L68-'3.1 Balance sheet.'!L58</f>
        <v>-0.13500000536441803</v>
      </c>
      <c r="M70" s="250">
        <f>+M68-'3.1 Balance sheet.'!M58</f>
        <v>0</v>
      </c>
      <c r="N70" s="250">
        <f>+N68-'3.1 Balance sheet.'!N58</f>
        <v>0</v>
      </c>
      <c r="O70" s="250">
        <f>+O68-'3.1 Balance sheet.'!O58</f>
        <v>-0.04800000000250293</v>
      </c>
      <c r="P70" s="249">
        <f>+P68-'3.1 Balance sheet.'!P58</f>
        <v>0</v>
      </c>
      <c r="Q70" s="250">
        <f>+Q68-'3.1 Balance sheet.'!Q58</f>
        <v>0</v>
      </c>
      <c r="R70" s="249">
        <f>+R68-'3.1 Balance sheet.'!R58</f>
        <v>-0.0010000020265579224</v>
      </c>
      <c r="S70" s="250">
        <f>+S68-'3.1 Balance sheet.'!S58</f>
        <v>0</v>
      </c>
      <c r="T70" s="249">
        <f>+T68-'3.1 Balance sheet.'!T58</f>
        <v>-0.000999998301267624</v>
      </c>
      <c r="U70" s="250">
        <f>+U68-'3.1 Balance sheet.'!U58</f>
        <v>-0.0010000000038417056</v>
      </c>
      <c r="V70" s="249">
        <f>+V68-'3.1 Balance sheet.'!V58</f>
        <v>-0.0010000020265579224</v>
      </c>
      <c r="W70" s="250">
        <f>+W68-'3.1 Balance sheet.'!W58</f>
        <v>0</v>
      </c>
      <c r="X70" s="250">
        <f>+X68-'3.1 Balance sheet.'!X58</f>
        <v>0</v>
      </c>
      <c r="Y70" s="249">
        <f>+Y68-'3.1 Balance sheet.'!Y58</f>
        <v>0</v>
      </c>
      <c r="Z70" s="250">
        <f>+Z68-'3.1 Balance sheet.'!Z58</f>
        <v>0</v>
      </c>
      <c r="AA70" s="249">
        <f>+AA68-'3.1 Balance sheet.'!AA58</f>
        <v>0</v>
      </c>
      <c r="AB70" s="250">
        <f>+AB68-'3.1 Balance sheet.'!AB58</f>
        <v>0</v>
      </c>
      <c r="AC70" s="249">
        <f>+AC68-'3.1 Balance sheet.'!AC58</f>
        <v>0.0010000001639127731</v>
      </c>
      <c r="AD70" s="249">
        <f>+AD68-'3.1 Balance sheet.'!AD58</f>
        <v>0</v>
      </c>
      <c r="AE70" s="250">
        <f>+AE68-'3.1 Balance sheet.'!AE58</f>
        <v>0</v>
      </c>
      <c r="AF70" s="249">
        <f>+AF68-'3.1 Balance sheet.'!AF58</f>
        <v>-0.2990000005811453</v>
      </c>
      <c r="AG70" s="249">
        <f>+AG68-'3.1 Balance sheet.'!AG58</f>
        <v>0</v>
      </c>
      <c r="AH70" s="249">
        <f>+AH68-'3.1 Balance sheet.'!AH58</f>
        <v>0</v>
      </c>
      <c r="AI70" s="249">
        <f>+AI68-'3.1 Balance sheet.'!AI58</f>
        <v>0</v>
      </c>
      <c r="AJ70" s="250">
        <f>+AJ68-'3.1 Balance sheet.'!AJ58</f>
        <v>0.27900000000954606</v>
      </c>
      <c r="AK70" s="249">
        <f>+AK68-'3.1 Balance sheet.'!AK58</f>
        <v>0.0010000001639127731</v>
      </c>
      <c r="AL70" s="250">
        <f>+AL68-'3.1 Balance sheet.'!AL58</f>
        <v>0</v>
      </c>
      <c r="AM70" s="249">
        <f>+AM68-'3.1 Balance sheet.'!AM58</f>
        <v>0.1810000017285347</v>
      </c>
      <c r="AN70" s="250">
        <f>+AN68-'3.1 Balance sheet.'!AN58</f>
        <v>0</v>
      </c>
      <c r="AO70" s="249">
        <f>+AO68-'3.1 Balance sheet.'!AO58</f>
        <v>0</v>
      </c>
      <c r="AP70" s="250">
        <f>+AP68-'3.1 Balance sheet.'!AP58</f>
        <v>0</v>
      </c>
      <c r="AQ70" s="249">
        <f>+AQ68-'3.1 Balance sheet.'!AQ58</f>
        <v>0</v>
      </c>
      <c r="AR70" s="249">
        <f>+AR68-'3.1 Balance sheet.'!AR58</f>
        <v>0</v>
      </c>
      <c r="AS70" s="250">
        <f>+AS68-'3.1 Balance sheet.'!AS58</f>
        <v>0.05400000000008731</v>
      </c>
      <c r="AT70" s="249">
        <f>+AT68-'3.1 Balance sheet.'!AT58</f>
        <v>0</v>
      </c>
      <c r="AU70" s="250">
        <f>+AU68-'3.1 Balance sheet.'!AU58</f>
        <v>-0.0819999999994252</v>
      </c>
      <c r="AV70" s="249">
        <f>+AV68-'3.1 Balance sheet.'!AV58</f>
        <v>0</v>
      </c>
      <c r="AW70" s="250">
        <f>+AW68-'3.1 Balance sheet.'!AW58</f>
        <v>0</v>
      </c>
      <c r="AX70" s="249">
        <f>+AX68-'3.1 Balance sheet.'!AX58</f>
        <v>0</v>
      </c>
      <c r="AY70" s="249">
        <f>+AY68-'3.1 Balance sheet.'!AY58</f>
        <v>0.0009999992325901985</v>
      </c>
      <c r="AZ70" s="250">
        <f>+AZ68-'3.1 Balance sheet.'!AZ58</f>
        <v>0</v>
      </c>
      <c r="BA70" s="249">
        <f>+BA68-'3.1 Balance sheet.'!BA58</f>
        <v>0</v>
      </c>
      <c r="BB70" s="249">
        <f>+BB68-'3.1 Balance sheet.'!BB58</f>
        <v>-0.001999999862164259</v>
      </c>
      <c r="BC70" s="250">
        <f>+BC68-'3.1 Balance sheet.'!BC58</f>
        <v>-0.0010000006295740604</v>
      </c>
      <c r="BD70" s="249">
        <f>+BD68-'3.1 Balance sheet.'!BD58</f>
        <v>0</v>
      </c>
      <c r="BE70" s="250">
        <f>+BE68-'3.1 Balance sheet.'!BE58</f>
        <v>0</v>
      </c>
      <c r="BF70" s="249">
        <f>+BF68-'3.1 Balance sheet.'!BF58</f>
        <v>0</v>
      </c>
      <c r="BG70" s="250">
        <f>+BG68-'3.1 Balance sheet.'!BG58</f>
        <v>0</v>
      </c>
      <c r="BH70" s="249">
        <f>+BH68-'3.1 Balance sheet.'!BH58</f>
        <v>0</v>
      </c>
      <c r="BI70" s="250">
        <f>+BI68-'3.1 Balance sheet.'!BI58</f>
        <v>0</v>
      </c>
      <c r="BJ70" s="249">
        <f>+BJ68-'3.1 Balance sheet.'!BJ58</f>
        <v>0</v>
      </c>
      <c r="BK70" s="249">
        <f>+BK68-'3.1 Balance sheet.'!BK58</f>
        <v>0</v>
      </c>
      <c r="BL70" s="250">
        <f>+BL68-'3.1 Balance sheet.'!BL58</f>
        <v>0</v>
      </c>
      <c r="BM70" s="250">
        <f>+BM68-'3.1 Balance sheet.'!BM58</f>
        <v>0</v>
      </c>
      <c r="BN70" s="249">
        <f>+BN68-'3.1 Balance sheet.'!BN58</f>
        <v>0</v>
      </c>
      <c r="BO70" s="249">
        <f>+BO68-'3.1 Balance sheet.'!BO58</f>
        <v>0.0010000001639127731</v>
      </c>
      <c r="BP70" s="249">
        <f>+BP68-'3.1 Balance sheet.'!BP58</f>
        <v>0</v>
      </c>
      <c r="BQ70" s="249">
        <f>+BQ68-'3.1 Balance sheet.'!BQ58</f>
        <v>0</v>
      </c>
      <c r="BR70" s="93">
        <f>+BR68-'3.1 Balance sheet.'!BR58</f>
        <v>-0.0009999999310821295</v>
      </c>
      <c r="BS70" s="250">
        <f>+BS68-'3.1 Balance sheet.'!BS58</f>
        <v>0</v>
      </c>
      <c r="BT70" s="250">
        <f>+BT68-'3.1 Balance sheet.'!BT58</f>
        <v>0</v>
      </c>
      <c r="BU70" s="250">
        <f>+BU68-'3.1 Balance sheet.'!BU58</f>
        <v>0</v>
      </c>
      <c r="BV70" s="249">
        <f>+BV68-'3.1 Balance sheet.'!BV58</f>
        <v>0</v>
      </c>
      <c r="BW70" s="249">
        <f>+BW68-'3.1 Balance sheet.'!BW58</f>
        <v>0</v>
      </c>
      <c r="BX70" s="249">
        <f>+BX68-'3.1 Balance sheet.'!BX58</f>
        <v>-0.0010000001639127731</v>
      </c>
      <c r="BY70" s="250">
        <f>+BY68-'3.1 Balance sheet.'!BY58</f>
        <v>0</v>
      </c>
      <c r="BZ70" s="249">
        <f>+BZ68-'3.1 Balance sheet.'!BZ58</f>
        <v>0</v>
      </c>
      <c r="CA70" s="250">
        <f>+CA68-'3.1 Balance sheet.'!CA58</f>
        <v>0</v>
      </c>
      <c r="CB70" s="250">
        <f>+CB68-'3.1 Balance sheet.'!CB58</f>
        <v>0</v>
      </c>
      <c r="CC70" s="249">
        <f>+CC68-'3.1 Balance sheet.'!CC58</f>
        <v>0</v>
      </c>
      <c r="CD70" s="249">
        <f>+CD68-'3.1 Balance sheet.'!CD58</f>
        <v>0</v>
      </c>
      <c r="CE70" s="250">
        <f>+CE68-'3.1 Balance sheet.'!CE58</f>
        <v>0</v>
      </c>
      <c r="CF70" s="249">
        <f>+CF68-'3.1 Balance sheet.'!CF58</f>
        <v>0.0020000000949949026</v>
      </c>
      <c r="CG70" s="249">
        <f>+CG68-'3.1 Balance sheet.'!CG58</f>
        <v>0</v>
      </c>
      <c r="CH70" s="249">
        <f>+CH68-'3.1 Balance sheet.'!CH58</f>
        <v>-0.4690000001573935</v>
      </c>
      <c r="CI70" s="249">
        <f>+CI68-'3.1 Balance sheet.'!CI58</f>
        <v>0</v>
      </c>
      <c r="CJ70" s="249">
        <f>+CJ68-'3.1 Balance sheet.'!CJ58</f>
        <v>0</v>
      </c>
      <c r="CK70" s="249">
        <f>+CK68-'3.1 Balance sheet.'!CK58</f>
        <v>0</v>
      </c>
      <c r="CL70" s="249">
        <f>+CL68-'3.1 Balance sheet.'!CL58</f>
        <v>0.7730000000447035</v>
      </c>
      <c r="CM70" s="249">
        <f>+CM68-'3.1 Balance sheet.'!CM58</f>
        <v>0</v>
      </c>
      <c r="CN70" s="249">
        <f>+CN68-'3.1 Balance sheet.'!CN58</f>
        <v>-0.0010000000183936208</v>
      </c>
      <c r="CO70" s="249">
        <f>+CO68-'3.1 Balance sheet.'!CO58</f>
        <v>0</v>
      </c>
      <c r="CP70" s="249">
        <f>+CP68-'3.1 Balance sheet.'!CP58</f>
        <v>0.003000000011525117</v>
      </c>
      <c r="CQ70" s="250">
        <f>+CQ68-'3.1 Balance sheet.'!CQ58</f>
        <v>0.0009999999892897904</v>
      </c>
      <c r="CR70" s="93">
        <f>+CR68-'3.1 Balance sheet.'!CR58</f>
        <v>0</v>
      </c>
      <c r="CS70" s="93">
        <f>+CS68-'3.1 Balance sheet.'!CS58</f>
        <v>0</v>
      </c>
      <c r="CT70" s="93"/>
      <c r="CV70" s="249">
        <f>+CV68-'3.1 Balance sheet.'!CV58</f>
        <v>0.3039999008178711</v>
      </c>
      <c r="CX70" s="249">
        <f>+CX68-'3.1 Balance sheet.'!CX58</f>
        <v>-0.3190000057220459</v>
      </c>
      <c r="CY70" s="249">
        <f>+CY68-'3.1 Balance sheet.'!CY58</f>
        <v>0.6230000257492065</v>
      </c>
      <c r="DA70" s="93"/>
    </row>
    <row r="71" spans="100:103" ht="12" hidden="1">
      <c r="CV71" s="222"/>
      <c r="CW71" s="222"/>
      <c r="CX71" s="222"/>
      <c r="CY71" s="222"/>
    </row>
    <row r="72" spans="4:103" ht="12.75" hidden="1">
      <c r="D72" s="93">
        <f>+D68-E68-F68-G68-H68-'Séreignardeildir - Efnah.'!C49</f>
        <v>-0.3190000057220459</v>
      </c>
      <c r="CV72" s="222"/>
      <c r="CW72" s="222"/>
      <c r="CX72" s="222"/>
      <c r="CY72" s="222"/>
    </row>
  </sheetData>
  <printOptions/>
  <pageMargins left="0.9448818897637796" right="0.35433070866141736" top="0.5118110236220472" bottom="0" header="0.2362204724409449" footer="0.2362204724409449"/>
  <pageSetup firstPageNumber="29" useFirstPageNumber="1" horizontalDpi="600" verticalDpi="600" orientation="portrait" paperSize="9" scale="95" r:id="rId1"/>
  <headerFooter alignWithMargins="0">
    <oddHeader>&amp;C&amp;"Times New Roman,Bold"&amp;14 &amp;13 3.2. STATEMENT OF CHANGES IN NET ASSETS FOR PENSION PAYMENT 2000</oddHeader>
    <oddFooter>&amp;R&amp;"Times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DB72"/>
  <sheetViews>
    <sheetView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6" sqref="A26"/>
    </sheetView>
  </sheetViews>
  <sheetFormatPr defaultColWidth="9.00390625" defaultRowHeight="12.75"/>
  <cols>
    <col min="1" max="1" width="36.625" style="210" customWidth="1"/>
    <col min="2" max="2" width="9.375" style="210" customWidth="1"/>
    <col min="3" max="3" width="7.875" style="211" hidden="1" customWidth="1"/>
    <col min="4" max="4" width="9.00390625" style="210" customWidth="1"/>
    <col min="5" max="9" width="7.875" style="211" customWidth="1"/>
    <col min="10" max="10" width="9.00390625" style="210" customWidth="1"/>
    <col min="11" max="11" width="7.875" style="211" hidden="1" customWidth="1"/>
    <col min="12" max="12" width="9.00390625" style="210" customWidth="1"/>
    <col min="13" max="15" width="7.875" style="211" customWidth="1"/>
    <col min="16" max="16" width="9.00390625" style="210" customWidth="1"/>
    <col min="17" max="17" width="7.875" style="211" customWidth="1"/>
    <col min="18" max="18" width="9.00390625" style="210" customWidth="1"/>
    <col min="19" max="19" width="7.875" style="211" hidden="1" customWidth="1"/>
    <col min="20" max="20" width="9.00390625" style="210" customWidth="1"/>
    <col min="21" max="21" width="7.875" style="211" hidden="1" customWidth="1"/>
    <col min="22" max="22" width="9.00390625" style="210" customWidth="1"/>
    <col min="23" max="24" width="7.875" style="211" hidden="1" customWidth="1"/>
    <col min="25" max="25" width="9.00390625" style="210" customWidth="1"/>
    <col min="26" max="26" width="7.875" style="211" hidden="1" customWidth="1"/>
    <col min="27" max="27" width="9.00390625" style="210" customWidth="1"/>
    <col min="28" max="28" width="7.875" style="211" hidden="1" customWidth="1"/>
    <col min="29" max="30" width="9.00390625" style="210" customWidth="1"/>
    <col min="31" max="31" width="7.875" style="211" customWidth="1"/>
    <col min="32" max="35" width="9.00390625" style="210" customWidth="1"/>
    <col min="36" max="36" width="8.375" style="211" customWidth="1"/>
    <col min="37" max="37" width="9.00390625" style="210" customWidth="1"/>
    <col min="38" max="38" width="7.875" style="211" hidden="1" customWidth="1"/>
    <col min="39" max="39" width="9.00390625" style="210" customWidth="1"/>
    <col min="40" max="40" width="7.875" style="211" hidden="1" customWidth="1"/>
    <col min="41" max="41" width="9.00390625" style="210" customWidth="1"/>
    <col min="42" max="42" width="7.875" style="211" hidden="1" customWidth="1"/>
    <col min="43" max="44" width="9.00390625" style="210" customWidth="1"/>
    <col min="45" max="45" width="7.875" style="211" hidden="1" customWidth="1"/>
    <col min="46" max="46" width="9.00390625" style="210" customWidth="1"/>
    <col min="47" max="47" width="7.875" style="211" hidden="1" customWidth="1"/>
    <col min="48" max="48" width="9.00390625" style="210" customWidth="1"/>
    <col min="49" max="49" width="7.875" style="211" hidden="1" customWidth="1"/>
    <col min="50" max="50" width="9.00390625" style="210" customWidth="1"/>
    <col min="51" max="51" width="10.00390625" style="210" customWidth="1"/>
    <col min="52" max="52" width="7.875" style="211" hidden="1" customWidth="1"/>
    <col min="53" max="54" width="9.00390625" style="210" customWidth="1"/>
    <col min="55" max="55" width="7.875" style="211" hidden="1" customWidth="1"/>
    <col min="56" max="56" width="9.00390625" style="210" customWidth="1"/>
    <col min="57" max="57" width="7.875" style="211" hidden="1" customWidth="1"/>
    <col min="58" max="58" width="9.00390625" style="210" customWidth="1"/>
    <col min="59" max="59" width="7.875" style="211" hidden="1" customWidth="1"/>
    <col min="60" max="60" width="9.00390625" style="210" customWidth="1"/>
    <col min="61" max="61" width="7.875" style="211" hidden="1" customWidth="1"/>
    <col min="62" max="63" width="9.00390625" style="210" customWidth="1"/>
    <col min="64" max="65" width="7.875" style="211" customWidth="1"/>
    <col min="66" max="66" width="9.75390625" style="210" customWidth="1"/>
    <col min="67" max="67" width="9.375" style="210" customWidth="1"/>
    <col min="68" max="70" width="9.00390625" style="210" customWidth="1"/>
    <col min="71" max="73" width="7.875" style="211" customWidth="1"/>
    <col min="74" max="74" width="10.25390625" style="210" customWidth="1"/>
    <col min="75" max="75" width="9.375" style="210" customWidth="1"/>
    <col min="76" max="76" width="9.00390625" style="210" customWidth="1"/>
    <col min="77" max="77" width="7.875" style="211" hidden="1" customWidth="1"/>
    <col min="78" max="78" width="9.875" style="210" customWidth="1"/>
    <col min="79" max="79" width="9.625" style="211" customWidth="1"/>
    <col min="80" max="80" width="8.75390625" style="211" customWidth="1"/>
    <col min="81" max="82" width="9.00390625" style="210" customWidth="1"/>
    <col min="83" max="83" width="7.875" style="211" hidden="1" customWidth="1"/>
    <col min="84" max="85" width="9.00390625" style="210" customWidth="1"/>
    <col min="86" max="88" width="9.875" style="210" customWidth="1"/>
    <col min="89" max="92" width="9.00390625" style="210" customWidth="1"/>
    <col min="93" max="93" width="10.25390625" style="210" customWidth="1"/>
    <col min="94" max="94" width="9.00390625" style="210" customWidth="1"/>
    <col min="95" max="95" width="7.875" style="211" hidden="1" customWidth="1"/>
    <col min="96" max="97" width="9.00390625" style="210" customWidth="1"/>
    <col min="98" max="98" width="3.75390625" style="210" customWidth="1"/>
    <col min="99" max="99" width="0.12890625" style="210" customWidth="1"/>
    <col min="100" max="100" width="11.50390625" style="210" customWidth="1"/>
    <col min="101" max="101" width="1.75390625" style="210" customWidth="1"/>
    <col min="102" max="102" width="10.375" style="210" customWidth="1"/>
    <col min="103" max="103" width="10.875" style="210" customWidth="1"/>
    <col min="104" max="104" width="2.875" style="210" hidden="1" customWidth="1"/>
    <col min="105" max="105" width="0" style="210" hidden="1" customWidth="1"/>
    <col min="106" max="16384" width="9.00390625" style="210" customWidth="1"/>
  </cols>
  <sheetData>
    <row r="1" spans="1:104" ht="12.75">
      <c r="A1" s="15"/>
      <c r="B1" s="207" t="s">
        <v>0</v>
      </c>
      <c r="C1" s="208" t="s">
        <v>0</v>
      </c>
      <c r="D1" s="207" t="s">
        <v>0</v>
      </c>
      <c r="E1" s="208" t="s">
        <v>0</v>
      </c>
      <c r="F1" s="208" t="s">
        <v>0</v>
      </c>
      <c r="G1" s="208" t="s">
        <v>0</v>
      </c>
      <c r="H1" s="208" t="s">
        <v>0</v>
      </c>
      <c r="I1" s="208" t="s">
        <v>0</v>
      </c>
      <c r="J1" s="207" t="s">
        <v>0</v>
      </c>
      <c r="K1" s="208" t="s">
        <v>0</v>
      </c>
      <c r="L1" s="207" t="s">
        <v>1</v>
      </c>
      <c r="M1" s="208" t="s">
        <v>1</v>
      </c>
      <c r="N1" s="208" t="s">
        <v>1</v>
      </c>
      <c r="O1" s="208" t="s">
        <v>1</v>
      </c>
      <c r="P1" s="207" t="s">
        <v>0</v>
      </c>
      <c r="Q1" s="208" t="s">
        <v>0</v>
      </c>
      <c r="R1" s="207" t="s">
        <v>0</v>
      </c>
      <c r="S1" s="208"/>
      <c r="T1" s="207" t="s">
        <v>2</v>
      </c>
      <c r="U1" s="208"/>
      <c r="V1" s="207" t="s">
        <v>0</v>
      </c>
      <c r="W1" s="208" t="s">
        <v>0</v>
      </c>
      <c r="X1" s="208" t="s">
        <v>0</v>
      </c>
      <c r="Y1" s="207" t="s">
        <v>0</v>
      </c>
      <c r="Z1" s="208"/>
      <c r="AA1" s="207" t="s">
        <v>3</v>
      </c>
      <c r="AB1" s="208"/>
      <c r="AC1" s="207" t="s">
        <v>0</v>
      </c>
      <c r="AD1" s="207" t="s">
        <v>0</v>
      </c>
      <c r="AE1" s="208" t="s">
        <v>0</v>
      </c>
      <c r="AF1" s="207" t="s">
        <v>0</v>
      </c>
      <c r="AG1" s="207" t="s">
        <v>0</v>
      </c>
      <c r="AH1" s="207" t="s">
        <v>0</v>
      </c>
      <c r="AI1" s="207" t="s">
        <v>0</v>
      </c>
      <c r="AJ1" s="253" t="s">
        <v>0</v>
      </c>
      <c r="AK1" s="207" t="s">
        <v>0</v>
      </c>
      <c r="AL1" s="208"/>
      <c r="AM1" s="207" t="s">
        <v>5</v>
      </c>
      <c r="AN1" s="208"/>
      <c r="AO1" s="207" t="s">
        <v>7</v>
      </c>
      <c r="AP1" s="208"/>
      <c r="AQ1" s="207" t="s">
        <v>0</v>
      </c>
      <c r="AR1" s="207" t="s">
        <v>0</v>
      </c>
      <c r="AS1" s="208"/>
      <c r="AT1" s="207" t="s">
        <v>265</v>
      </c>
      <c r="AU1" s="208"/>
      <c r="AV1" s="207" t="s">
        <v>6</v>
      </c>
      <c r="AW1" s="208"/>
      <c r="AX1" s="207" t="s">
        <v>0</v>
      </c>
      <c r="AY1" s="207" t="s">
        <v>0</v>
      </c>
      <c r="AZ1" s="208"/>
      <c r="BA1" s="207" t="s">
        <v>0</v>
      </c>
      <c r="BB1" s="207" t="s">
        <v>8</v>
      </c>
      <c r="BC1" s="208"/>
      <c r="BD1" s="207" t="s">
        <v>0</v>
      </c>
      <c r="BE1" s="208"/>
      <c r="BF1" s="207" t="s">
        <v>6</v>
      </c>
      <c r="BG1" s="208"/>
      <c r="BH1" s="207" t="s">
        <v>0</v>
      </c>
      <c r="BI1" s="208"/>
      <c r="BJ1" s="207" t="s">
        <v>0</v>
      </c>
      <c r="BK1" s="207" t="s">
        <v>0</v>
      </c>
      <c r="BL1" s="208" t="s">
        <v>0</v>
      </c>
      <c r="BM1" s="208" t="s">
        <v>0</v>
      </c>
      <c r="BN1" s="207" t="s">
        <v>4</v>
      </c>
      <c r="BO1" s="207" t="s">
        <v>0</v>
      </c>
      <c r="BP1" s="207" t="s">
        <v>0</v>
      </c>
      <c r="BQ1" s="207" t="s">
        <v>0</v>
      </c>
      <c r="BR1" s="207" t="s">
        <v>0</v>
      </c>
      <c r="BS1" s="208" t="s">
        <v>0</v>
      </c>
      <c r="BT1" s="208" t="s">
        <v>0</v>
      </c>
      <c r="BU1" s="208" t="s">
        <v>0</v>
      </c>
      <c r="BV1" s="207" t="s">
        <v>4</v>
      </c>
      <c r="BW1" s="207" t="s">
        <v>0</v>
      </c>
      <c r="BX1" s="207" t="s">
        <v>50</v>
      </c>
      <c r="BY1" s="208"/>
      <c r="BZ1" s="207" t="s">
        <v>4</v>
      </c>
      <c r="CA1" s="208" t="s">
        <v>4</v>
      </c>
      <c r="CB1" s="208" t="s">
        <v>4</v>
      </c>
      <c r="CC1" s="207" t="s">
        <v>0</v>
      </c>
      <c r="CD1" s="207" t="s">
        <v>0</v>
      </c>
      <c r="CE1" s="208"/>
      <c r="CF1" s="207" t="s">
        <v>0</v>
      </c>
      <c r="CG1" s="207" t="s">
        <v>0</v>
      </c>
      <c r="CH1" s="207" t="s">
        <v>4</v>
      </c>
      <c r="CI1" s="207" t="s">
        <v>4</v>
      </c>
      <c r="CJ1" s="207" t="s">
        <v>4</v>
      </c>
      <c r="CK1" s="207" t="s">
        <v>0</v>
      </c>
      <c r="CL1" s="207" t="s">
        <v>6</v>
      </c>
      <c r="CM1" s="207" t="s">
        <v>0</v>
      </c>
      <c r="CN1" s="207" t="s">
        <v>0</v>
      </c>
      <c r="CO1" s="207" t="s">
        <v>4</v>
      </c>
      <c r="CP1" s="207" t="s">
        <v>9</v>
      </c>
      <c r="CQ1" s="208"/>
      <c r="CR1" s="207" t="s">
        <v>0</v>
      </c>
      <c r="CS1" s="207" t="s">
        <v>0</v>
      </c>
      <c r="CT1" s="207"/>
      <c r="CV1" s="190"/>
      <c r="CW1" s="190"/>
      <c r="CX1" s="190" t="s">
        <v>567</v>
      </c>
      <c r="CY1" s="190" t="s">
        <v>568</v>
      </c>
      <c r="CZ1" s="209"/>
    </row>
    <row r="2" spans="1:104" ht="12.75">
      <c r="A2" s="319" t="s">
        <v>397</v>
      </c>
      <c r="B2" s="207" t="s">
        <v>12</v>
      </c>
      <c r="C2" s="208" t="s">
        <v>12</v>
      </c>
      <c r="D2" s="207" t="s">
        <v>339</v>
      </c>
      <c r="E2" s="208" t="s">
        <v>339</v>
      </c>
      <c r="F2" s="208" t="s">
        <v>339</v>
      </c>
      <c r="G2" s="208" t="s">
        <v>339</v>
      </c>
      <c r="H2" s="208" t="s">
        <v>339</v>
      </c>
      <c r="I2" s="208" t="s">
        <v>339</v>
      </c>
      <c r="J2" s="207" t="s">
        <v>16</v>
      </c>
      <c r="K2" s="208" t="s">
        <v>16</v>
      </c>
      <c r="L2" s="207" t="s">
        <v>15</v>
      </c>
      <c r="M2" s="208" t="s">
        <v>15</v>
      </c>
      <c r="N2" s="208" t="s">
        <v>15</v>
      </c>
      <c r="O2" s="208" t="s">
        <v>15</v>
      </c>
      <c r="P2" s="207" t="s">
        <v>13</v>
      </c>
      <c r="Q2" s="208" t="s">
        <v>13</v>
      </c>
      <c r="R2" s="207" t="s">
        <v>17</v>
      </c>
      <c r="S2" s="208"/>
      <c r="T2" s="207" t="s">
        <v>15</v>
      </c>
      <c r="U2" s="208"/>
      <c r="V2" s="207" t="s">
        <v>273</v>
      </c>
      <c r="W2" s="208" t="s">
        <v>273</v>
      </c>
      <c r="X2" s="208" t="s">
        <v>273</v>
      </c>
      <c r="Y2" s="207" t="s">
        <v>234</v>
      </c>
      <c r="Z2" s="208"/>
      <c r="AA2" s="207" t="s">
        <v>15</v>
      </c>
      <c r="AB2" s="208"/>
      <c r="AC2" s="207" t="s">
        <v>19</v>
      </c>
      <c r="AD2" s="207" t="s">
        <v>20</v>
      </c>
      <c r="AE2" s="208" t="s">
        <v>20</v>
      </c>
      <c r="AF2" s="207" t="s">
        <v>22</v>
      </c>
      <c r="AG2" s="207" t="s">
        <v>18</v>
      </c>
      <c r="AH2" s="207" t="s">
        <v>21</v>
      </c>
      <c r="AI2" s="207" t="s">
        <v>284</v>
      </c>
      <c r="AJ2" s="253" t="s">
        <v>284</v>
      </c>
      <c r="AK2" s="207" t="s">
        <v>23</v>
      </c>
      <c r="AL2" s="208"/>
      <c r="AM2" s="207" t="s">
        <v>15</v>
      </c>
      <c r="AN2" s="208"/>
      <c r="AO2" s="207" t="s">
        <v>30</v>
      </c>
      <c r="AP2" s="208"/>
      <c r="AQ2" s="207" t="s">
        <v>25</v>
      </c>
      <c r="AR2" s="207" t="s">
        <v>24</v>
      </c>
      <c r="AS2" s="208"/>
      <c r="AT2" s="207" t="s">
        <v>46</v>
      </c>
      <c r="AU2" s="208"/>
      <c r="AV2" s="207" t="s">
        <v>29</v>
      </c>
      <c r="AW2" s="208"/>
      <c r="AX2" s="207" t="s">
        <v>14</v>
      </c>
      <c r="AY2" s="207" t="s">
        <v>275</v>
      </c>
      <c r="AZ2" s="208"/>
      <c r="BA2" s="207" t="s">
        <v>71</v>
      </c>
      <c r="BB2" s="207" t="s">
        <v>15</v>
      </c>
      <c r="BC2" s="208"/>
      <c r="BD2" s="207" t="s">
        <v>26</v>
      </c>
      <c r="BE2" s="208"/>
      <c r="BF2" s="207" t="s">
        <v>29</v>
      </c>
      <c r="BG2" s="208"/>
      <c r="BH2" s="207" t="s">
        <v>27</v>
      </c>
      <c r="BI2" s="208"/>
      <c r="BJ2" s="207" t="s">
        <v>14</v>
      </c>
      <c r="BK2" s="207" t="s">
        <v>28</v>
      </c>
      <c r="BL2" s="208" t="s">
        <v>28</v>
      </c>
      <c r="BM2" s="208" t="s">
        <v>28</v>
      </c>
      <c r="BN2" s="207" t="s">
        <v>14</v>
      </c>
      <c r="BO2" s="207" t="s">
        <v>31</v>
      </c>
      <c r="BP2" s="207" t="s">
        <v>32</v>
      </c>
      <c r="BQ2" s="207" t="s">
        <v>33</v>
      </c>
      <c r="BR2" s="207" t="s">
        <v>14</v>
      </c>
      <c r="BS2" s="208" t="s">
        <v>14</v>
      </c>
      <c r="BT2" s="208" t="s">
        <v>14</v>
      </c>
      <c r="BU2" s="208" t="s">
        <v>14</v>
      </c>
      <c r="BV2" s="207" t="s">
        <v>34</v>
      </c>
      <c r="BW2" s="207" t="s">
        <v>36</v>
      </c>
      <c r="BX2" s="207" t="s">
        <v>15</v>
      </c>
      <c r="BY2" s="208"/>
      <c r="BZ2" s="207" t="s">
        <v>37</v>
      </c>
      <c r="CA2" s="208" t="s">
        <v>37</v>
      </c>
      <c r="CB2" s="208" t="s">
        <v>37</v>
      </c>
      <c r="CC2" s="207" t="s">
        <v>35</v>
      </c>
      <c r="CD2" s="207" t="s">
        <v>39</v>
      </c>
      <c r="CE2" s="208"/>
      <c r="CF2" s="207" t="s">
        <v>38</v>
      </c>
      <c r="CG2" s="207" t="s">
        <v>41</v>
      </c>
      <c r="CH2" s="207" t="s">
        <v>40</v>
      </c>
      <c r="CI2" s="207" t="s">
        <v>42</v>
      </c>
      <c r="CJ2" s="207" t="s">
        <v>260</v>
      </c>
      <c r="CK2" s="207" t="s">
        <v>14</v>
      </c>
      <c r="CL2" s="207" t="s">
        <v>29</v>
      </c>
      <c r="CM2" s="207" t="s">
        <v>43</v>
      </c>
      <c r="CN2" s="207" t="s">
        <v>45</v>
      </c>
      <c r="CO2" s="207" t="s">
        <v>44</v>
      </c>
      <c r="CP2" s="207" t="s">
        <v>46</v>
      </c>
      <c r="CQ2" s="208"/>
      <c r="CR2" s="207" t="s">
        <v>47</v>
      </c>
      <c r="CS2" s="207" t="s">
        <v>48</v>
      </c>
      <c r="CT2" s="207"/>
      <c r="CV2" s="190"/>
      <c r="CW2" s="190"/>
      <c r="CX2" s="190" t="s">
        <v>569</v>
      </c>
      <c r="CY2" s="190" t="s">
        <v>569</v>
      </c>
      <c r="CZ2" s="209"/>
    </row>
    <row r="3" spans="1:104" ht="12.75">
      <c r="A3" s="322"/>
      <c r="B3" s="207" t="s">
        <v>51</v>
      </c>
      <c r="C3" s="208" t="s">
        <v>51</v>
      </c>
      <c r="D3" s="207" t="s">
        <v>346</v>
      </c>
      <c r="E3" s="208" t="s">
        <v>137</v>
      </c>
      <c r="F3" s="208" t="s">
        <v>137</v>
      </c>
      <c r="G3" s="254" t="s">
        <v>342</v>
      </c>
      <c r="H3" s="254" t="s">
        <v>344</v>
      </c>
      <c r="I3" s="214" t="s">
        <v>370</v>
      </c>
      <c r="J3" s="207" t="s">
        <v>137</v>
      </c>
      <c r="K3" s="214" t="s">
        <v>370</v>
      </c>
      <c r="L3" s="207" t="s">
        <v>29</v>
      </c>
      <c r="M3" s="208" t="s">
        <v>29</v>
      </c>
      <c r="N3" s="208" t="s">
        <v>29</v>
      </c>
      <c r="O3" s="208" t="s">
        <v>29</v>
      </c>
      <c r="P3" s="207" t="s">
        <v>137</v>
      </c>
      <c r="Q3" s="214" t="s">
        <v>370</v>
      </c>
      <c r="R3" s="207" t="s">
        <v>53</v>
      </c>
      <c r="S3" s="214"/>
      <c r="T3" s="207" t="s">
        <v>52</v>
      </c>
      <c r="U3" s="214"/>
      <c r="V3" s="207" t="s">
        <v>66</v>
      </c>
      <c r="W3" s="214" t="s">
        <v>66</v>
      </c>
      <c r="X3" s="214" t="s">
        <v>66</v>
      </c>
      <c r="Y3" s="207" t="s">
        <v>137</v>
      </c>
      <c r="Z3" s="214"/>
      <c r="AA3" s="207" t="s">
        <v>29</v>
      </c>
      <c r="AB3" s="214"/>
      <c r="AC3" s="207" t="s">
        <v>53</v>
      </c>
      <c r="AD3" s="207" t="s">
        <v>54</v>
      </c>
      <c r="AE3" s="208" t="s">
        <v>54</v>
      </c>
      <c r="AF3" s="207" t="s">
        <v>137</v>
      </c>
      <c r="AG3" s="207" t="s">
        <v>137</v>
      </c>
      <c r="AH3" s="207" t="s">
        <v>55</v>
      </c>
      <c r="AI3" s="207" t="s">
        <v>283</v>
      </c>
      <c r="AJ3" s="253" t="s">
        <v>283</v>
      </c>
      <c r="AK3" s="207" t="s">
        <v>262</v>
      </c>
      <c r="AL3" s="214"/>
      <c r="AM3" s="207" t="s">
        <v>29</v>
      </c>
      <c r="AN3" s="214"/>
      <c r="AO3" s="207" t="s">
        <v>62</v>
      </c>
      <c r="AP3" s="214"/>
      <c r="AQ3" s="207" t="s">
        <v>193</v>
      </c>
      <c r="AR3" s="207" t="s">
        <v>53</v>
      </c>
      <c r="AS3" s="214"/>
      <c r="AT3" s="207" t="s">
        <v>266</v>
      </c>
      <c r="AU3" s="214"/>
      <c r="AV3" s="207" t="s">
        <v>77</v>
      </c>
      <c r="AW3" s="214"/>
      <c r="AX3" s="207" t="s">
        <v>285</v>
      </c>
      <c r="AY3" s="207" t="s">
        <v>276</v>
      </c>
      <c r="AZ3" s="214"/>
      <c r="BA3" s="207"/>
      <c r="BB3" s="207" t="s">
        <v>73</v>
      </c>
      <c r="BC3" s="214"/>
      <c r="BD3" s="207" t="s">
        <v>57</v>
      </c>
      <c r="BE3" s="214"/>
      <c r="BF3" s="207" t="s">
        <v>61</v>
      </c>
      <c r="BG3" s="214"/>
      <c r="BH3" s="207"/>
      <c r="BI3" s="214"/>
      <c r="BJ3" s="207" t="s">
        <v>58</v>
      </c>
      <c r="BK3" s="207" t="s">
        <v>59</v>
      </c>
      <c r="BL3" s="255" t="s">
        <v>59</v>
      </c>
      <c r="BM3" s="255" t="s">
        <v>59</v>
      </c>
      <c r="BN3" s="207" t="s">
        <v>60</v>
      </c>
      <c r="BO3" s="207" t="s">
        <v>63</v>
      </c>
      <c r="BP3" s="207" t="s">
        <v>64</v>
      </c>
      <c r="BQ3" s="207"/>
      <c r="BR3" s="207" t="s">
        <v>277</v>
      </c>
      <c r="BS3" s="255" t="s">
        <v>277</v>
      </c>
      <c r="BT3" s="255" t="s">
        <v>277</v>
      </c>
      <c r="BU3" s="255" t="s">
        <v>277</v>
      </c>
      <c r="BV3" s="207" t="s">
        <v>65</v>
      </c>
      <c r="BW3" s="207" t="s">
        <v>68</v>
      </c>
      <c r="BX3" s="207" t="s">
        <v>29</v>
      </c>
      <c r="BY3" s="214"/>
      <c r="BZ3" s="207" t="s">
        <v>280</v>
      </c>
      <c r="CA3" s="255" t="s">
        <v>280</v>
      </c>
      <c r="CB3" s="255" t="s">
        <v>280</v>
      </c>
      <c r="CC3" s="207" t="s">
        <v>67</v>
      </c>
      <c r="CD3" s="207" t="s">
        <v>56</v>
      </c>
      <c r="CE3" s="214"/>
      <c r="CF3" s="207" t="s">
        <v>70</v>
      </c>
      <c r="CG3" s="207" t="s">
        <v>69</v>
      </c>
      <c r="CH3" s="207" t="s">
        <v>71</v>
      </c>
      <c r="CI3" s="207" t="s">
        <v>72</v>
      </c>
      <c r="CJ3" s="207" t="s">
        <v>76</v>
      </c>
      <c r="CK3" s="207" t="s">
        <v>74</v>
      </c>
      <c r="CL3" s="207" t="s">
        <v>75</v>
      </c>
      <c r="CM3" s="207" t="s">
        <v>78</v>
      </c>
      <c r="CN3" s="207" t="s">
        <v>80</v>
      </c>
      <c r="CO3" s="207" t="s">
        <v>79</v>
      </c>
      <c r="CP3" s="207" t="s">
        <v>81</v>
      </c>
      <c r="CQ3" s="214"/>
      <c r="CR3" s="207" t="s">
        <v>82</v>
      </c>
      <c r="CS3" s="207" t="s">
        <v>83</v>
      </c>
      <c r="CT3" s="207"/>
      <c r="CV3" s="190" t="s">
        <v>574</v>
      </c>
      <c r="CW3" s="190"/>
      <c r="CX3" s="190" t="s">
        <v>570</v>
      </c>
      <c r="CY3" s="190" t="s">
        <v>570</v>
      </c>
      <c r="CZ3" s="209"/>
    </row>
    <row r="4" spans="1:103" ht="12.75">
      <c r="A4" s="322"/>
      <c r="B4" s="213" t="s">
        <v>85</v>
      </c>
      <c r="C4" s="214" t="s">
        <v>370</v>
      </c>
      <c r="D4" s="213" t="s">
        <v>86</v>
      </c>
      <c r="E4" s="214" t="s">
        <v>340</v>
      </c>
      <c r="F4" s="214" t="s">
        <v>341</v>
      </c>
      <c r="G4" s="214" t="s">
        <v>343</v>
      </c>
      <c r="H4" s="214" t="s">
        <v>345</v>
      </c>
      <c r="I4" s="214" t="s">
        <v>345</v>
      </c>
      <c r="J4" s="213" t="s">
        <v>87</v>
      </c>
      <c r="K4" s="214" t="s">
        <v>345</v>
      </c>
      <c r="L4" s="213" t="s">
        <v>88</v>
      </c>
      <c r="M4" s="214" t="s">
        <v>348</v>
      </c>
      <c r="N4" s="214" t="s">
        <v>372</v>
      </c>
      <c r="O4" s="214" t="s">
        <v>370</v>
      </c>
      <c r="P4" s="213" t="s">
        <v>89</v>
      </c>
      <c r="Q4" s="214" t="s">
        <v>345</v>
      </c>
      <c r="R4" s="213" t="s">
        <v>90</v>
      </c>
      <c r="S4" s="214"/>
      <c r="T4" s="213" t="s">
        <v>91</v>
      </c>
      <c r="U4" s="214"/>
      <c r="V4" s="213" t="s">
        <v>92</v>
      </c>
      <c r="W4" s="214" t="s">
        <v>312</v>
      </c>
      <c r="X4" s="214" t="s">
        <v>376</v>
      </c>
      <c r="Y4" s="213" t="s">
        <v>189</v>
      </c>
      <c r="Z4" s="214"/>
      <c r="AA4" s="213" t="s">
        <v>190</v>
      </c>
      <c r="AB4" s="214"/>
      <c r="AC4" s="213" t="s">
        <v>191</v>
      </c>
      <c r="AD4" s="213" t="s">
        <v>93</v>
      </c>
      <c r="AE4" s="214" t="s">
        <v>370</v>
      </c>
      <c r="AF4" s="213" t="s">
        <v>94</v>
      </c>
      <c r="AG4" s="213" t="s">
        <v>95</v>
      </c>
      <c r="AH4" s="213" t="s">
        <v>96</v>
      </c>
      <c r="AI4" s="213" t="s">
        <v>97</v>
      </c>
      <c r="AJ4" s="214" t="s">
        <v>370</v>
      </c>
      <c r="AK4" s="213" t="s">
        <v>98</v>
      </c>
      <c r="AL4" s="214"/>
      <c r="AM4" s="213" t="s">
        <v>99</v>
      </c>
      <c r="AN4" s="214"/>
      <c r="AO4" s="213" t="s">
        <v>100</v>
      </c>
      <c r="AP4" s="214"/>
      <c r="AQ4" s="213" t="s">
        <v>101</v>
      </c>
      <c r="AR4" s="213" t="s">
        <v>102</v>
      </c>
      <c r="AS4" s="214"/>
      <c r="AT4" s="213" t="s">
        <v>103</v>
      </c>
      <c r="AU4" s="214"/>
      <c r="AV4" s="213" t="s">
        <v>104</v>
      </c>
      <c r="AW4" s="214"/>
      <c r="AX4" s="213" t="s">
        <v>105</v>
      </c>
      <c r="AY4" s="213" t="s">
        <v>106</v>
      </c>
      <c r="AZ4" s="214"/>
      <c r="BA4" s="213" t="s">
        <v>305</v>
      </c>
      <c r="BB4" s="213" t="s">
        <v>107</v>
      </c>
      <c r="BC4" s="214"/>
      <c r="BD4" s="213" t="s">
        <v>108</v>
      </c>
      <c r="BE4" s="214"/>
      <c r="BF4" s="213" t="s">
        <v>109</v>
      </c>
      <c r="BG4" s="214"/>
      <c r="BH4" s="213" t="s">
        <v>110</v>
      </c>
      <c r="BI4" s="214"/>
      <c r="BJ4" s="213" t="s">
        <v>111</v>
      </c>
      <c r="BK4" s="213" t="s">
        <v>112</v>
      </c>
      <c r="BL4" s="214" t="s">
        <v>378</v>
      </c>
      <c r="BM4" s="214" t="s">
        <v>379</v>
      </c>
      <c r="BN4" s="213" t="s">
        <v>113</v>
      </c>
      <c r="BO4" s="213" t="s">
        <v>114</v>
      </c>
      <c r="BP4" s="213" t="s">
        <v>115</v>
      </c>
      <c r="BQ4" s="213" t="s">
        <v>116</v>
      </c>
      <c r="BR4" s="213" t="s">
        <v>367</v>
      </c>
      <c r="BS4" s="214" t="s">
        <v>341</v>
      </c>
      <c r="BT4" s="214" t="s">
        <v>375</v>
      </c>
      <c r="BU4" s="214" t="s">
        <v>370</v>
      </c>
      <c r="BV4" s="213" t="s">
        <v>117</v>
      </c>
      <c r="BW4" s="213" t="s">
        <v>118</v>
      </c>
      <c r="BX4" s="213" t="s">
        <v>119</v>
      </c>
      <c r="BY4" s="214"/>
      <c r="BZ4" s="213" t="s">
        <v>120</v>
      </c>
      <c r="CA4" s="214" t="s">
        <v>341</v>
      </c>
      <c r="CB4" s="214" t="s">
        <v>340</v>
      </c>
      <c r="CC4" s="213" t="s">
        <v>121</v>
      </c>
      <c r="CD4" s="213" t="s">
        <v>122</v>
      </c>
      <c r="CE4" s="214"/>
      <c r="CF4" s="213" t="s">
        <v>123</v>
      </c>
      <c r="CG4" s="213" t="s">
        <v>368</v>
      </c>
      <c r="CH4" s="213" t="s">
        <v>124</v>
      </c>
      <c r="CI4" s="213" t="s">
        <v>125</v>
      </c>
      <c r="CJ4" s="213" t="s">
        <v>126</v>
      </c>
      <c r="CK4" s="213" t="s">
        <v>127</v>
      </c>
      <c r="CL4" s="213" t="s">
        <v>128</v>
      </c>
      <c r="CM4" s="213" t="s">
        <v>129</v>
      </c>
      <c r="CN4" s="213" t="s">
        <v>130</v>
      </c>
      <c r="CO4" s="213" t="s">
        <v>195</v>
      </c>
      <c r="CP4" s="213" t="s">
        <v>369</v>
      </c>
      <c r="CQ4" s="214"/>
      <c r="CR4" s="213" t="s">
        <v>131</v>
      </c>
      <c r="CS4" s="213" t="s">
        <v>132</v>
      </c>
      <c r="CT4" s="213"/>
      <c r="CV4" s="198"/>
      <c r="CW4" s="198"/>
      <c r="CX4" s="198" t="s">
        <v>575</v>
      </c>
      <c r="CY4" s="198" t="s">
        <v>576</v>
      </c>
    </row>
    <row r="5" spans="1:104" ht="12.75">
      <c r="A5" s="318" t="s">
        <v>481</v>
      </c>
      <c r="B5" s="122"/>
      <c r="C5" s="214" t="s">
        <v>345</v>
      </c>
      <c r="D5" s="122"/>
      <c r="E5" s="214"/>
      <c r="F5" s="214"/>
      <c r="G5" s="214"/>
      <c r="H5" s="214"/>
      <c r="I5" s="214"/>
      <c r="J5" s="122"/>
      <c r="K5" s="214"/>
      <c r="L5" s="177"/>
      <c r="M5" s="214"/>
      <c r="N5" s="214" t="s">
        <v>345</v>
      </c>
      <c r="O5" s="214" t="s">
        <v>345</v>
      </c>
      <c r="P5" s="122"/>
      <c r="Q5" s="214"/>
      <c r="R5" s="122"/>
      <c r="S5" s="214"/>
      <c r="T5" s="122"/>
      <c r="U5" s="214"/>
      <c r="V5" s="177"/>
      <c r="W5" s="214" t="s">
        <v>345</v>
      </c>
      <c r="X5" s="214" t="s">
        <v>345</v>
      </c>
      <c r="Y5" s="177"/>
      <c r="Z5" s="214"/>
      <c r="AA5" s="122"/>
      <c r="AB5" s="214"/>
      <c r="AC5" s="177"/>
      <c r="AD5" s="177"/>
      <c r="AE5" s="214" t="s">
        <v>345</v>
      </c>
      <c r="AF5" s="177"/>
      <c r="AG5" s="122"/>
      <c r="AH5" s="177"/>
      <c r="AI5" s="177"/>
      <c r="AJ5" s="214" t="s">
        <v>345</v>
      </c>
      <c r="AK5" s="177"/>
      <c r="AL5" s="214"/>
      <c r="AM5" s="177"/>
      <c r="AN5" s="214"/>
      <c r="AO5" s="177"/>
      <c r="AP5" s="214"/>
      <c r="AQ5" s="177"/>
      <c r="AR5" s="177"/>
      <c r="AS5" s="214"/>
      <c r="AT5" s="177"/>
      <c r="AU5" s="214"/>
      <c r="AV5" s="177"/>
      <c r="AW5" s="214"/>
      <c r="AX5" s="177"/>
      <c r="AY5" s="177"/>
      <c r="AZ5" s="214"/>
      <c r="BA5" s="177"/>
      <c r="BB5" s="177"/>
      <c r="BC5" s="214"/>
      <c r="BD5" s="177"/>
      <c r="BE5" s="214"/>
      <c r="BF5" s="177"/>
      <c r="BG5" s="214"/>
      <c r="BH5" s="177"/>
      <c r="BI5" s="214"/>
      <c r="BJ5" s="177"/>
      <c r="BK5" s="177"/>
      <c r="BL5" s="214"/>
      <c r="BM5" s="214"/>
      <c r="BN5" s="177"/>
      <c r="BO5" s="177"/>
      <c r="BP5" s="177"/>
      <c r="BQ5" s="177"/>
      <c r="BR5" s="177"/>
      <c r="BS5" s="214"/>
      <c r="BT5" s="214"/>
      <c r="BU5" s="214" t="s">
        <v>345</v>
      </c>
      <c r="BV5" s="177"/>
      <c r="BW5" s="177"/>
      <c r="BX5" s="177"/>
      <c r="BY5" s="214"/>
      <c r="BZ5" s="177"/>
      <c r="CA5" s="214"/>
      <c r="CB5" s="214"/>
      <c r="CC5" s="177"/>
      <c r="CD5" s="177"/>
      <c r="CE5" s="214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214"/>
      <c r="CR5" s="177"/>
      <c r="CS5" s="177"/>
      <c r="CT5" s="177"/>
      <c r="CV5" s="218"/>
      <c r="CW5" s="218"/>
      <c r="CX5" s="218"/>
      <c r="CY5" s="218"/>
      <c r="CZ5" s="218"/>
    </row>
    <row r="6" spans="1:105" ht="12.75">
      <c r="A6" s="319" t="s">
        <v>482</v>
      </c>
      <c r="B6" s="241">
        <f>5467569.291+201020.567</f>
        <v>5668589.858</v>
      </c>
      <c r="C6" s="244"/>
      <c r="D6" s="241">
        <v>17513449</v>
      </c>
      <c r="E6" s="244">
        <v>12834164</v>
      </c>
      <c r="F6" s="244">
        <v>4164311</v>
      </c>
      <c r="G6" s="244">
        <v>212694</v>
      </c>
      <c r="H6" s="244">
        <v>32067</v>
      </c>
      <c r="I6" s="244">
        <v>270211</v>
      </c>
      <c r="J6" s="241">
        <v>2305642.38</v>
      </c>
      <c r="K6" s="244"/>
      <c r="L6" s="241">
        <v>2148865.121</v>
      </c>
      <c r="M6" s="244">
        <v>2039627.316</v>
      </c>
      <c r="N6" s="244">
        <v>91538.393</v>
      </c>
      <c r="O6" s="244">
        <v>17699.412</v>
      </c>
      <c r="P6" s="241">
        <v>1678244.469</v>
      </c>
      <c r="Q6" s="244">
        <v>2714.301</v>
      </c>
      <c r="R6" s="241">
        <v>939162.714</v>
      </c>
      <c r="S6" s="244"/>
      <c r="T6" s="241">
        <v>855758.516</v>
      </c>
      <c r="U6" s="244"/>
      <c r="V6" s="241">
        <v>650025.931</v>
      </c>
      <c r="W6" s="244"/>
      <c r="X6" s="244"/>
      <c r="Y6" s="241">
        <v>1025647.612</v>
      </c>
      <c r="Z6" s="244"/>
      <c r="AA6" s="241">
        <v>766650.249</v>
      </c>
      <c r="AB6" s="244"/>
      <c r="AC6" s="241">
        <v>709688.94</v>
      </c>
      <c r="AD6" s="241">
        <v>438556.099</v>
      </c>
      <c r="AE6" s="244"/>
      <c r="AF6" s="241">
        <v>557005</v>
      </c>
      <c r="AG6" s="241">
        <v>338932.881</v>
      </c>
      <c r="AH6" s="241">
        <v>642711.648</v>
      </c>
      <c r="AI6" s="241">
        <v>862026.55</v>
      </c>
      <c r="AJ6" s="244">
        <v>52333.729</v>
      </c>
      <c r="AK6" s="241">
        <v>382339.808</v>
      </c>
      <c r="AL6" s="244"/>
      <c r="AM6" s="241">
        <v>1242464.002</v>
      </c>
      <c r="AN6" s="244"/>
      <c r="AO6" s="241">
        <v>1906219.107</v>
      </c>
      <c r="AP6" s="244"/>
      <c r="AQ6" s="241">
        <v>1270804.225</v>
      </c>
      <c r="AR6" s="241">
        <v>410618.152</v>
      </c>
      <c r="AS6" s="244"/>
      <c r="AT6" s="241">
        <v>352518.342</v>
      </c>
      <c r="AU6" s="244"/>
      <c r="AV6" s="241">
        <v>1310014</v>
      </c>
      <c r="AW6" s="244"/>
      <c r="AX6" s="241">
        <v>108723.282</v>
      </c>
      <c r="AY6" s="241">
        <v>469206.302</v>
      </c>
      <c r="AZ6" s="244"/>
      <c r="BA6" s="241">
        <v>275660.922</v>
      </c>
      <c r="BB6" s="241">
        <v>783285.047</v>
      </c>
      <c r="BC6" s="244"/>
      <c r="BD6" s="241">
        <v>175764.417</v>
      </c>
      <c r="BE6" s="244"/>
      <c r="BF6" s="241">
        <f>135359.478+29196.823</f>
        <v>164556.301</v>
      </c>
      <c r="BG6" s="244"/>
      <c r="BH6" s="241">
        <f>97051.01+18546.936+20661.032</f>
        <v>136258.978</v>
      </c>
      <c r="BI6" s="244"/>
      <c r="BJ6" s="241">
        <v>830913.075</v>
      </c>
      <c r="BK6" s="241">
        <v>21997.357</v>
      </c>
      <c r="BL6" s="244">
        <v>0</v>
      </c>
      <c r="BM6" s="244">
        <v>22074.259</v>
      </c>
      <c r="BN6" s="241">
        <v>37787.659</v>
      </c>
      <c r="BO6" s="241">
        <v>0</v>
      </c>
      <c r="BP6" s="241">
        <v>87914.956</v>
      </c>
      <c r="BQ6" s="241">
        <v>136440.849</v>
      </c>
      <c r="BR6" s="241">
        <f>747244.521+13600.097</f>
        <v>760844.6179999999</v>
      </c>
      <c r="BS6" s="244">
        <v>669206.211</v>
      </c>
      <c r="BT6" s="244">
        <v>78038.31</v>
      </c>
      <c r="BU6" s="244">
        <v>13600.097</v>
      </c>
      <c r="BV6" s="241">
        <v>148.797</v>
      </c>
      <c r="BW6" s="241">
        <v>66357.81</v>
      </c>
      <c r="BX6" s="241">
        <v>346222.427</v>
      </c>
      <c r="BY6" s="244"/>
      <c r="BZ6" s="241">
        <v>134188.837</v>
      </c>
      <c r="CA6" s="244">
        <v>48205.922</v>
      </c>
      <c r="CB6" s="244">
        <f>+BZ6-CA6</f>
        <v>85982.91500000001</v>
      </c>
      <c r="CC6" s="241">
        <v>11366.98</v>
      </c>
      <c r="CD6" s="241">
        <v>60967.01</v>
      </c>
      <c r="CE6" s="244"/>
      <c r="CF6" s="241">
        <v>92520.598</v>
      </c>
      <c r="CG6" s="241">
        <v>21967.77</v>
      </c>
      <c r="CH6" s="242">
        <v>1060.658</v>
      </c>
      <c r="CI6" s="241">
        <v>0</v>
      </c>
      <c r="CJ6" s="241">
        <v>25568.229</v>
      </c>
      <c r="CK6" s="241">
        <v>2600.753</v>
      </c>
      <c r="CL6" s="241">
        <v>0</v>
      </c>
      <c r="CM6" s="241">
        <v>17792.759</v>
      </c>
      <c r="CN6" s="241">
        <v>13557.192</v>
      </c>
      <c r="CO6" s="241">
        <v>84000</v>
      </c>
      <c r="CP6" s="241">
        <v>0</v>
      </c>
      <c r="CQ6" s="244"/>
      <c r="CR6" s="241">
        <v>25416.512</v>
      </c>
      <c r="CS6" s="241">
        <v>0</v>
      </c>
      <c r="CT6" s="241"/>
      <c r="CV6" s="93">
        <f>+B6+D6+J6+L6+P6+R6+T6+V6+Y6+AA6+AC6+AD6+AF6+AG6+AH6+AI6+AK6+AM6+AO6+AQ6+AR6+AT6+AV6+AX6+AY6+BA6+BB6+BD6+BF6+BH6+BJ6+BK6+BN6+BO6+BP6+BQ6+BR6+BV6+BW6+BX6+BZ6+CC6+CD6+CF6+CG6+CH6+CI6+CJ6+CK6+CL6+CM6+CN6+CO6+CP6+CR6+CS6</f>
        <v>48869024.699</v>
      </c>
      <c r="CW6" s="93"/>
      <c r="CX6" s="93">
        <f>+D6+AQ6+BJ6+BN6+BR6+BW6+BZ6+CF6+CG6+CJ6+CM6+CN6+CO6+CR6</f>
        <v>20895168.284</v>
      </c>
      <c r="CY6" s="93">
        <f>+B6+J6+L6+P6+R6+T6+V6+Y6+AA6+AC6+AD6+AF6+AG6+AH6+AI6+AK6+AM6+AO6+AR6+AT6+AV6+AX6+AY6+BA6+BB6+BD6+BF6+BH6+BK6+BO6+BP6+BQ6+BV6+BX6+CC6+CD6+CH6+CI6+CK6+CL6+CP6+CS6</f>
        <v>27973856.414999995</v>
      </c>
      <c r="CZ6" s="241"/>
      <c r="DA6" s="210">
        <f>+CV6-CX6-CY6</f>
        <v>0</v>
      </c>
    </row>
    <row r="7" spans="1:105" ht="12.75">
      <c r="A7" s="319" t="s">
        <v>483</v>
      </c>
      <c r="B7" s="241">
        <v>3712707.636</v>
      </c>
      <c r="C7" s="244"/>
      <c r="D7" s="241">
        <v>1835609</v>
      </c>
      <c r="E7" s="244">
        <v>1490742</v>
      </c>
      <c r="F7" s="244">
        <v>338648</v>
      </c>
      <c r="G7" s="244">
        <v>4262</v>
      </c>
      <c r="H7" s="244">
        <v>953</v>
      </c>
      <c r="I7" s="244">
        <v>1004</v>
      </c>
      <c r="J7" s="241">
        <v>1584970.882</v>
      </c>
      <c r="K7" s="244"/>
      <c r="L7" s="241">
        <v>1570091.069</v>
      </c>
      <c r="M7" s="244">
        <v>1566762.953</v>
      </c>
      <c r="N7" s="244">
        <v>3690.255</v>
      </c>
      <c r="O7" s="244">
        <v>-362.139</v>
      </c>
      <c r="P7" s="241">
        <v>1125380.517</v>
      </c>
      <c r="Q7" s="244">
        <v>107.434</v>
      </c>
      <c r="R7" s="241">
        <v>909151.048</v>
      </c>
      <c r="S7" s="244"/>
      <c r="T7" s="241">
        <v>616622.6</v>
      </c>
      <c r="U7" s="244"/>
      <c r="V7" s="241">
        <v>207294.683</v>
      </c>
      <c r="W7" s="244"/>
      <c r="X7" s="244"/>
      <c r="Y7" s="241">
        <v>421271.336</v>
      </c>
      <c r="Z7" s="244"/>
      <c r="AA7" s="241">
        <v>873523.236</v>
      </c>
      <c r="AB7" s="244"/>
      <c r="AC7" s="241">
        <v>158971.675</v>
      </c>
      <c r="AD7" s="241">
        <v>224052.232</v>
      </c>
      <c r="AE7" s="244"/>
      <c r="AF7" s="241">
        <v>352831</v>
      </c>
      <c r="AG7" s="241">
        <v>157054.55</v>
      </c>
      <c r="AH7" s="241">
        <v>376094.827</v>
      </c>
      <c r="AI7" s="241">
        <v>382359.385</v>
      </c>
      <c r="AJ7" s="244">
        <v>3765.721</v>
      </c>
      <c r="AK7" s="241">
        <v>204057.157</v>
      </c>
      <c r="AL7" s="244"/>
      <c r="AM7" s="241">
        <v>291991.695</v>
      </c>
      <c r="AN7" s="244"/>
      <c r="AO7" s="241">
        <v>67206.316</v>
      </c>
      <c r="AP7" s="244"/>
      <c r="AQ7" s="241">
        <v>216213.607</v>
      </c>
      <c r="AR7" s="241">
        <v>242976.227</v>
      </c>
      <c r="AS7" s="244"/>
      <c r="AT7" s="241">
        <v>187171.797</v>
      </c>
      <c r="AU7" s="244"/>
      <c r="AV7" s="241">
        <v>41842</v>
      </c>
      <c r="AW7" s="244"/>
      <c r="AX7" s="241">
        <v>151902.102</v>
      </c>
      <c r="AY7" s="241">
        <v>86772.185</v>
      </c>
      <c r="AZ7" s="244"/>
      <c r="BA7" s="241">
        <v>57919.415</v>
      </c>
      <c r="BB7" s="241">
        <v>1012.913</v>
      </c>
      <c r="BC7" s="244"/>
      <c r="BD7" s="241">
        <v>98473.508</v>
      </c>
      <c r="BE7" s="244"/>
      <c r="BF7" s="241">
        <v>57706.017</v>
      </c>
      <c r="BG7" s="244"/>
      <c r="BH7" s="241">
        <v>223398.292</v>
      </c>
      <c r="BI7" s="244"/>
      <c r="BJ7" s="241">
        <v>151564.175</v>
      </c>
      <c r="BK7" s="241">
        <v>12912.309</v>
      </c>
      <c r="BL7" s="244">
        <v>11696.46</v>
      </c>
      <c r="BM7" s="244">
        <v>1215.849</v>
      </c>
      <c r="BN7" s="241">
        <v>36526.082</v>
      </c>
      <c r="BO7" s="241">
        <v>67027.506</v>
      </c>
      <c r="BP7" s="241">
        <v>7398.551</v>
      </c>
      <c r="BQ7" s="241">
        <v>110879.932</v>
      </c>
      <c r="BR7" s="241">
        <v>6689.184</v>
      </c>
      <c r="BS7" s="244">
        <v>5815.934</v>
      </c>
      <c r="BT7" s="244">
        <v>820.76</v>
      </c>
      <c r="BU7" s="244">
        <v>52.49</v>
      </c>
      <c r="BV7" s="241">
        <v>1466.45</v>
      </c>
      <c r="BW7" s="241">
        <v>54707.921</v>
      </c>
      <c r="BX7" s="241">
        <v>17715.551</v>
      </c>
      <c r="BY7" s="244"/>
      <c r="BZ7" s="241">
        <v>54081.581</v>
      </c>
      <c r="CA7" s="244">
        <v>1893.618</v>
      </c>
      <c r="CB7" s="244">
        <f aca="true" t="shared" si="0" ref="CB7:CB14">+BZ7-CA7</f>
        <v>52187.962999999996</v>
      </c>
      <c r="CC7" s="241">
        <v>26486.428</v>
      </c>
      <c r="CD7" s="241">
        <v>18322.471</v>
      </c>
      <c r="CE7" s="244"/>
      <c r="CF7" s="241">
        <v>61569.64</v>
      </c>
      <c r="CG7" s="241">
        <v>43583.049</v>
      </c>
      <c r="CH7" s="241">
        <v>0</v>
      </c>
      <c r="CI7" s="241">
        <v>24384.037</v>
      </c>
      <c r="CJ7" s="241">
        <v>43886.921</v>
      </c>
      <c r="CK7" s="241">
        <v>13608.794</v>
      </c>
      <c r="CL7" s="241">
        <v>47046.011</v>
      </c>
      <c r="CM7" s="241">
        <v>14146.556</v>
      </c>
      <c r="CN7" s="241">
        <v>6303.784</v>
      </c>
      <c r="CO7" s="241">
        <v>5871.364</v>
      </c>
      <c r="CP7" s="241">
        <v>17663.033</v>
      </c>
      <c r="CQ7" s="244"/>
      <c r="CR7" s="241">
        <v>3542.995</v>
      </c>
      <c r="CS7" s="241">
        <v>17.251</v>
      </c>
      <c r="CT7" s="241"/>
      <c r="CV7" s="93">
        <f aca="true" t="shared" si="1" ref="CV7:CV42">+B7+D7+J7+L7+P7+R7+T7+V7+Y7+AA7+AC7+AD7+AF7+AG7+AH7+AI7+AK7+AM7+AO7+AQ7+AR7+AT7+AV7+AX7+AY7+BA7+BB7+BD7+BF7+BH7+BJ7+BK7+BN7+BO7+BP7+BQ7+BR7+BV7+BW7+BX7+BZ7+CC7+CD7+CF7+CG7+CH7+CI7+CJ7+CK7+CL7+CM7+CN7+CO7+CP7+CR7+CS7</f>
        <v>17284030.483000003</v>
      </c>
      <c r="CW7" s="93"/>
      <c r="CX7" s="93">
        <f aca="true" t="shared" si="2" ref="CX7:CX42">+D7+AQ7+BJ7+BN7+BR7+BW7+BZ7+CF7+CG7+CJ7+CM7+CN7+CO7+CR7</f>
        <v>2534295.859</v>
      </c>
      <c r="CY7" s="93">
        <f aca="true" t="shared" si="3" ref="CY7:CY42">+B7+J7+L7+P7+R7+T7+V7+Y7+AA7+AC7+AD7+AF7+AG7+AH7+AI7+AK7+AM7+AO7+AR7+AT7+AV7+AX7+AY7+BA7+BB7+BD7+BF7+BH7+BK7+BO7+BP7+BQ7+BV7+BX7+CC7+CD7+CH7+CI7+CK7+CL7+CP7+CS7</f>
        <v>14749734.624000002</v>
      </c>
      <c r="CZ7" s="241"/>
      <c r="DA7" s="210">
        <f aca="true" t="shared" si="4" ref="DA7:DA43">+CV7-CX7-CY7</f>
        <v>0</v>
      </c>
    </row>
    <row r="8" spans="1:106" ht="12.75">
      <c r="A8" s="319" t="s">
        <v>484</v>
      </c>
      <c r="B8" s="241">
        <v>8674.589</v>
      </c>
      <c r="C8" s="244"/>
      <c r="D8" s="241">
        <v>0</v>
      </c>
      <c r="E8" s="244">
        <v>0</v>
      </c>
      <c r="F8" s="244">
        <v>0</v>
      </c>
      <c r="G8" s="244">
        <v>0</v>
      </c>
      <c r="H8" s="244">
        <v>0</v>
      </c>
      <c r="I8" s="244">
        <v>0</v>
      </c>
      <c r="J8" s="241">
        <v>17613.191</v>
      </c>
      <c r="K8" s="244"/>
      <c r="L8" s="241">
        <v>0</v>
      </c>
      <c r="M8" s="244">
        <f>+L8-N8</f>
        <v>0</v>
      </c>
      <c r="N8" s="244">
        <v>0</v>
      </c>
      <c r="O8" s="244">
        <v>0</v>
      </c>
      <c r="P8" s="241">
        <v>0</v>
      </c>
      <c r="Q8" s="244">
        <v>0</v>
      </c>
      <c r="R8" s="241">
        <v>4205.106</v>
      </c>
      <c r="S8" s="244"/>
      <c r="T8" s="241">
        <v>0</v>
      </c>
      <c r="U8" s="244"/>
      <c r="V8" s="241">
        <v>0</v>
      </c>
      <c r="W8" s="244"/>
      <c r="X8" s="244"/>
      <c r="Y8" s="241">
        <v>0</v>
      </c>
      <c r="Z8" s="244"/>
      <c r="AA8" s="241">
        <v>0</v>
      </c>
      <c r="AB8" s="244"/>
      <c r="AC8" s="241">
        <v>0</v>
      </c>
      <c r="AD8" s="241">
        <v>0</v>
      </c>
      <c r="AE8" s="244"/>
      <c r="AF8" s="241"/>
      <c r="AG8" s="241">
        <v>82806.184</v>
      </c>
      <c r="AH8" s="241">
        <v>5141.547</v>
      </c>
      <c r="AI8" s="241">
        <v>2211.163</v>
      </c>
      <c r="AJ8" s="244">
        <v>0</v>
      </c>
      <c r="AK8" s="241">
        <v>0</v>
      </c>
      <c r="AL8" s="244"/>
      <c r="AM8" s="241">
        <v>0</v>
      </c>
      <c r="AN8" s="244"/>
      <c r="AO8" s="241">
        <v>0</v>
      </c>
      <c r="AP8" s="244"/>
      <c r="AQ8" s="241">
        <v>0</v>
      </c>
      <c r="AR8" s="241">
        <v>0</v>
      </c>
      <c r="AS8" s="244"/>
      <c r="AT8" s="241">
        <v>0</v>
      </c>
      <c r="AU8" s="244"/>
      <c r="AV8" s="241">
        <v>0</v>
      </c>
      <c r="AW8" s="244"/>
      <c r="AX8" s="241">
        <v>0</v>
      </c>
      <c r="AY8" s="241">
        <v>0</v>
      </c>
      <c r="AZ8" s="244"/>
      <c r="BA8" s="241">
        <v>0</v>
      </c>
      <c r="BB8" s="241">
        <v>0</v>
      </c>
      <c r="BC8" s="244"/>
      <c r="BD8" s="241">
        <v>0</v>
      </c>
      <c r="BE8" s="244"/>
      <c r="BF8" s="241">
        <v>4042.946</v>
      </c>
      <c r="BG8" s="244"/>
      <c r="BH8" s="241">
        <v>0</v>
      </c>
      <c r="BI8" s="244"/>
      <c r="BJ8" s="241">
        <v>0</v>
      </c>
      <c r="BK8" s="241">
        <v>0</v>
      </c>
      <c r="BL8" s="244">
        <v>0</v>
      </c>
      <c r="BM8" s="244">
        <v>0</v>
      </c>
      <c r="BN8" s="241">
        <v>0</v>
      </c>
      <c r="BO8" s="241">
        <v>0</v>
      </c>
      <c r="BP8" s="241">
        <v>2280.406</v>
      </c>
      <c r="BQ8" s="241">
        <v>571.678</v>
      </c>
      <c r="BR8" s="241">
        <v>0</v>
      </c>
      <c r="BS8" s="244">
        <v>0</v>
      </c>
      <c r="BT8" s="244">
        <v>0</v>
      </c>
      <c r="BU8" s="244">
        <v>0</v>
      </c>
      <c r="BV8" s="241">
        <v>2472.754</v>
      </c>
      <c r="BW8" s="241">
        <v>5124.037</v>
      </c>
      <c r="BX8" s="241">
        <v>0</v>
      </c>
      <c r="BY8" s="244"/>
      <c r="BZ8" s="241">
        <v>0</v>
      </c>
      <c r="CA8" s="244">
        <v>0</v>
      </c>
      <c r="CB8" s="244">
        <f t="shared" si="0"/>
        <v>0</v>
      </c>
      <c r="CC8" s="241">
        <v>0</v>
      </c>
      <c r="CD8" s="241">
        <v>0</v>
      </c>
      <c r="CE8" s="244"/>
      <c r="CF8" s="241">
        <v>0</v>
      </c>
      <c r="CG8" s="241">
        <v>0</v>
      </c>
      <c r="CH8" s="241">
        <v>0</v>
      </c>
      <c r="CI8" s="241">
        <v>0</v>
      </c>
      <c r="CJ8" s="241">
        <v>0</v>
      </c>
      <c r="CK8" s="241">
        <v>0</v>
      </c>
      <c r="CL8" s="241">
        <v>0</v>
      </c>
      <c r="CM8" s="241">
        <v>0</v>
      </c>
      <c r="CN8" s="241">
        <v>0</v>
      </c>
      <c r="CO8" s="241">
        <v>0</v>
      </c>
      <c r="CP8" s="241">
        <v>0</v>
      </c>
      <c r="CQ8" s="244"/>
      <c r="CR8" s="241">
        <v>0</v>
      </c>
      <c r="CS8" s="241">
        <v>0</v>
      </c>
      <c r="CT8" s="241"/>
      <c r="CV8" s="93">
        <f t="shared" si="1"/>
        <v>135143.601</v>
      </c>
      <c r="CW8" s="93"/>
      <c r="CX8" s="93">
        <f t="shared" si="2"/>
        <v>5124.037</v>
      </c>
      <c r="CY8" s="93">
        <f t="shared" si="3"/>
        <v>130019.564</v>
      </c>
      <c r="CZ8" s="241"/>
      <c r="DA8" s="210">
        <f t="shared" si="4"/>
        <v>0</v>
      </c>
      <c r="DB8" s="93"/>
    </row>
    <row r="9" spans="1:105" ht="12.75">
      <c r="A9" s="319" t="s">
        <v>485</v>
      </c>
      <c r="B9" s="241">
        <v>3474097.041</v>
      </c>
      <c r="C9" s="244"/>
      <c r="D9" s="241">
        <v>3604811</v>
      </c>
      <c r="E9" s="244">
        <v>3370016</v>
      </c>
      <c r="F9" s="244">
        <v>233334</v>
      </c>
      <c r="G9" s="244">
        <v>893</v>
      </c>
      <c r="H9" s="244">
        <v>0</v>
      </c>
      <c r="I9" s="244">
        <v>568</v>
      </c>
      <c r="J9" s="241">
        <v>2225838.705</v>
      </c>
      <c r="K9" s="244"/>
      <c r="L9" s="241">
        <v>2333191.234</v>
      </c>
      <c r="M9" s="244">
        <v>2333191.234</v>
      </c>
      <c r="N9" s="244">
        <v>0</v>
      </c>
      <c r="O9" s="244">
        <v>0</v>
      </c>
      <c r="P9" s="241">
        <v>2072206.316</v>
      </c>
      <c r="Q9" s="244">
        <v>0</v>
      </c>
      <c r="R9" s="241">
        <v>724039.962</v>
      </c>
      <c r="S9" s="244"/>
      <c r="T9" s="241">
        <v>1059395.498</v>
      </c>
      <c r="U9" s="244"/>
      <c r="V9" s="241">
        <v>223058.532</v>
      </c>
      <c r="W9" s="244"/>
      <c r="X9" s="244"/>
      <c r="Y9" s="241">
        <v>707067.263</v>
      </c>
      <c r="Z9" s="244"/>
      <c r="AA9" s="241">
        <v>633130.266</v>
      </c>
      <c r="AB9" s="244"/>
      <c r="AC9" s="241">
        <v>1760125.204</v>
      </c>
      <c r="AD9" s="241">
        <v>874756.501</v>
      </c>
      <c r="AE9" s="244"/>
      <c r="AF9" s="241">
        <v>466371</v>
      </c>
      <c r="AG9" s="241">
        <v>690252.712</v>
      </c>
      <c r="AH9" s="241">
        <v>466016.039</v>
      </c>
      <c r="AI9" s="241">
        <v>217235.253</v>
      </c>
      <c r="AJ9" s="244">
        <v>0</v>
      </c>
      <c r="AK9" s="241">
        <v>484592.531</v>
      </c>
      <c r="AL9" s="244"/>
      <c r="AM9" s="241">
        <v>338401.418</v>
      </c>
      <c r="AN9" s="244"/>
      <c r="AO9" s="241">
        <v>123358.676</v>
      </c>
      <c r="AP9" s="244"/>
      <c r="AQ9" s="241">
        <v>366976.824</v>
      </c>
      <c r="AR9" s="241">
        <v>553834.956</v>
      </c>
      <c r="AS9" s="244"/>
      <c r="AT9" s="241">
        <v>195105.918</v>
      </c>
      <c r="AU9" s="244"/>
      <c r="AV9" s="241">
        <v>237979</v>
      </c>
      <c r="AW9" s="244"/>
      <c r="AX9" s="241">
        <v>580085.045</v>
      </c>
      <c r="AY9" s="241">
        <v>130929.115</v>
      </c>
      <c r="AZ9" s="244"/>
      <c r="BA9" s="241">
        <v>146387.037</v>
      </c>
      <c r="BB9" s="241">
        <v>97778.928</v>
      </c>
      <c r="BC9" s="244"/>
      <c r="BD9" s="241">
        <v>204214.412</v>
      </c>
      <c r="BE9" s="244"/>
      <c r="BF9" s="241">
        <v>64406.648</v>
      </c>
      <c r="BG9" s="244"/>
      <c r="BH9" s="241">
        <v>244432.621</v>
      </c>
      <c r="BI9" s="244"/>
      <c r="BJ9" s="241">
        <v>200849.284</v>
      </c>
      <c r="BK9" s="241">
        <v>412157.141</v>
      </c>
      <c r="BL9" s="244">
        <v>325233.285</v>
      </c>
      <c r="BM9" s="244">
        <v>86923.856</v>
      </c>
      <c r="BN9" s="241">
        <v>64886.832</v>
      </c>
      <c r="BO9" s="241">
        <v>151101.412</v>
      </c>
      <c r="BP9" s="241">
        <v>177210.339</v>
      </c>
      <c r="BQ9" s="241">
        <f>1095.798+53227.834</f>
        <v>54323.632000000005</v>
      </c>
      <c r="BR9" s="241">
        <v>5914.358</v>
      </c>
      <c r="BS9" s="244">
        <v>5129.094</v>
      </c>
      <c r="BT9" s="244">
        <v>785.264</v>
      </c>
      <c r="BU9" s="244">
        <v>0</v>
      </c>
      <c r="BV9" s="241">
        <v>72687.06</v>
      </c>
      <c r="BW9" s="241">
        <v>121701.975</v>
      </c>
      <c r="BX9" s="241">
        <v>10577.327</v>
      </c>
      <c r="BY9" s="244"/>
      <c r="BZ9" s="241">
        <v>107748.428</v>
      </c>
      <c r="CA9" s="244">
        <v>717.806</v>
      </c>
      <c r="CB9" s="244">
        <f t="shared" si="0"/>
        <v>107030.622</v>
      </c>
      <c r="CC9" s="241">
        <v>101543.355</v>
      </c>
      <c r="CD9" s="241">
        <v>33407.117</v>
      </c>
      <c r="CE9" s="244"/>
      <c r="CF9" s="241">
        <v>74065.127</v>
      </c>
      <c r="CG9" s="241">
        <v>217230.841</v>
      </c>
      <c r="CH9" s="241">
        <v>0</v>
      </c>
      <c r="CI9" s="241">
        <v>21490.525</v>
      </c>
      <c r="CJ9" s="241">
        <v>16833.002</v>
      </c>
      <c r="CK9" s="241">
        <v>9501.832</v>
      </c>
      <c r="CL9" s="241">
        <v>23521.243</v>
      </c>
      <c r="CM9" s="241">
        <v>27584.761</v>
      </c>
      <c r="CN9" s="241">
        <v>8443.064</v>
      </c>
      <c r="CO9" s="241">
        <v>12127.812</v>
      </c>
      <c r="CP9" s="241">
        <v>19520.384</v>
      </c>
      <c r="CQ9" s="244"/>
      <c r="CR9" s="241">
        <v>3448.671</v>
      </c>
      <c r="CS9" s="241">
        <v>1980.416</v>
      </c>
      <c r="CT9" s="241"/>
      <c r="CV9" s="93">
        <f t="shared" si="1"/>
        <v>27249931.59299999</v>
      </c>
      <c r="CW9" s="93"/>
      <c r="CX9" s="93">
        <f t="shared" si="2"/>
        <v>4832621.979000001</v>
      </c>
      <c r="CY9" s="93">
        <f t="shared" si="3"/>
        <v>22417309.613999996</v>
      </c>
      <c r="CZ9" s="241"/>
      <c r="DA9" s="210">
        <f t="shared" si="4"/>
        <v>0</v>
      </c>
    </row>
    <row r="10" spans="1:105" ht="12.75">
      <c r="A10" s="319" t="s">
        <v>486</v>
      </c>
      <c r="B10" s="241">
        <v>1729980.622</v>
      </c>
      <c r="C10" s="244"/>
      <c r="D10" s="241">
        <v>217887</v>
      </c>
      <c r="E10" s="244">
        <v>24000</v>
      </c>
      <c r="F10" s="244">
        <v>131623</v>
      </c>
      <c r="G10" s="244">
        <v>0</v>
      </c>
      <c r="H10" s="244">
        <v>0</v>
      </c>
      <c r="I10" s="244">
        <v>221511</v>
      </c>
      <c r="J10" s="241">
        <v>5121492.016</v>
      </c>
      <c r="K10" s="244"/>
      <c r="L10" s="241">
        <v>10293514.088</v>
      </c>
      <c r="M10" s="244">
        <v>10293514.088</v>
      </c>
      <c r="N10" s="244">
        <v>0</v>
      </c>
      <c r="O10" s="244">
        <v>0</v>
      </c>
      <c r="P10" s="241">
        <v>2612820.643</v>
      </c>
      <c r="Q10" s="244">
        <v>0</v>
      </c>
      <c r="R10" s="241">
        <v>1110254.05</v>
      </c>
      <c r="S10" s="244"/>
      <c r="T10" s="241">
        <v>517156.978</v>
      </c>
      <c r="U10" s="244"/>
      <c r="V10" s="241">
        <v>1871704.409</v>
      </c>
      <c r="W10" s="244"/>
      <c r="X10" s="244"/>
      <c r="Y10" s="241">
        <v>1455624.862</v>
      </c>
      <c r="Z10" s="244"/>
      <c r="AA10" s="241">
        <v>1299884.598</v>
      </c>
      <c r="AB10" s="244"/>
      <c r="AC10" s="241">
        <v>3566421.131</v>
      </c>
      <c r="AD10" s="241">
        <v>346390.592</v>
      </c>
      <c r="AE10" s="244"/>
      <c r="AF10" s="241">
        <v>523333</v>
      </c>
      <c r="AG10" s="241">
        <v>1871866.669</v>
      </c>
      <c r="AH10" s="241">
        <v>5692938.026</v>
      </c>
      <c r="AI10" s="241">
        <v>171856.526</v>
      </c>
      <c r="AJ10" s="244">
        <v>0</v>
      </c>
      <c r="AK10" s="241">
        <v>356724.309</v>
      </c>
      <c r="AL10" s="244"/>
      <c r="AM10" s="241">
        <v>1403424.28</v>
      </c>
      <c r="AN10" s="244"/>
      <c r="AO10" s="241">
        <v>2045492.916</v>
      </c>
      <c r="AP10" s="244"/>
      <c r="AQ10" s="241">
        <v>3999.975</v>
      </c>
      <c r="AR10" s="241">
        <v>155190.1</v>
      </c>
      <c r="AS10" s="244"/>
      <c r="AT10" s="241">
        <v>29342.925</v>
      </c>
      <c r="AU10" s="244"/>
      <c r="AV10" s="241">
        <v>2271479</v>
      </c>
      <c r="AW10" s="244"/>
      <c r="AX10" s="241">
        <v>271038.633</v>
      </c>
      <c r="AY10" s="241">
        <v>848024.079</v>
      </c>
      <c r="AZ10" s="244"/>
      <c r="BA10" s="241">
        <v>1217747.217</v>
      </c>
      <c r="BB10" s="241">
        <v>603536.375</v>
      </c>
      <c r="BC10" s="244"/>
      <c r="BD10" s="241">
        <v>86851.221</v>
      </c>
      <c r="BE10" s="244"/>
      <c r="BF10" s="241">
        <v>1240656.099</v>
      </c>
      <c r="BG10" s="244"/>
      <c r="BH10" s="241">
        <v>66604.717</v>
      </c>
      <c r="BI10" s="244"/>
      <c r="BJ10" s="241">
        <v>816098.549</v>
      </c>
      <c r="BK10" s="241">
        <v>0</v>
      </c>
      <c r="BL10" s="244">
        <v>0</v>
      </c>
      <c r="BM10" s="244">
        <v>0</v>
      </c>
      <c r="BN10" s="241">
        <v>541411.317</v>
      </c>
      <c r="BO10" s="241">
        <v>123705.985</v>
      </c>
      <c r="BP10" s="241">
        <v>314919.294</v>
      </c>
      <c r="BQ10" s="241">
        <v>0</v>
      </c>
      <c r="BR10" s="241">
        <v>630548.854</v>
      </c>
      <c r="BS10" s="244">
        <v>535429.497</v>
      </c>
      <c r="BT10" s="244">
        <v>85006.707</v>
      </c>
      <c r="BU10" s="244">
        <v>10112.65</v>
      </c>
      <c r="BV10" s="241">
        <v>288512.298</v>
      </c>
      <c r="BW10" s="241">
        <v>54430.765</v>
      </c>
      <c r="BX10" s="241">
        <v>394699.13</v>
      </c>
      <c r="BY10" s="244"/>
      <c r="BZ10" s="241">
        <v>0</v>
      </c>
      <c r="CA10" s="244">
        <v>0</v>
      </c>
      <c r="CB10" s="244">
        <f t="shared" si="0"/>
        <v>0</v>
      </c>
      <c r="CC10" s="241">
        <v>93497.154</v>
      </c>
      <c r="CD10" s="241">
        <v>213076.022</v>
      </c>
      <c r="CE10" s="244"/>
      <c r="CF10" s="241">
        <v>41770.938</v>
      </c>
      <c r="CG10" s="241">
        <v>0</v>
      </c>
      <c r="CH10" s="241">
        <v>128989.766</v>
      </c>
      <c r="CI10" s="241">
        <v>66892.965</v>
      </c>
      <c r="CJ10" s="241">
        <v>61972.683</v>
      </c>
      <c r="CK10" s="241">
        <v>54826.824</v>
      </c>
      <c r="CL10" s="241">
        <v>0</v>
      </c>
      <c r="CM10" s="241">
        <v>8795.789</v>
      </c>
      <c r="CN10" s="241">
        <v>7334.581</v>
      </c>
      <c r="CO10" s="241">
        <v>0</v>
      </c>
      <c r="CP10" s="241">
        <v>0</v>
      </c>
      <c r="CQ10" s="244"/>
      <c r="CR10" s="241">
        <v>0</v>
      </c>
      <c r="CS10" s="241">
        <v>0</v>
      </c>
      <c r="CT10" s="241"/>
      <c r="CV10" s="93">
        <f t="shared" si="1"/>
        <v>52844719.97000002</v>
      </c>
      <c r="CW10" s="93"/>
      <c r="CX10" s="93">
        <f t="shared" si="2"/>
        <v>2384250.4510000004</v>
      </c>
      <c r="CY10" s="93">
        <f t="shared" si="3"/>
        <v>50460469.519000016</v>
      </c>
      <c r="CZ10" s="241"/>
      <c r="DA10" s="210">
        <f t="shared" si="4"/>
        <v>0</v>
      </c>
    </row>
    <row r="11" spans="1:105" ht="12.75">
      <c r="A11" s="319" t="s">
        <v>487</v>
      </c>
      <c r="B11" s="241">
        <v>3137277.727</v>
      </c>
      <c r="C11" s="244"/>
      <c r="D11" s="241">
        <v>487445</v>
      </c>
      <c r="E11" s="244">
        <v>448289</v>
      </c>
      <c r="F11" s="244">
        <v>39156</v>
      </c>
      <c r="G11" s="244">
        <v>0</v>
      </c>
      <c r="H11" s="244">
        <v>0</v>
      </c>
      <c r="I11" s="244">
        <v>0</v>
      </c>
      <c r="J11" s="241">
        <v>1140216.618</v>
      </c>
      <c r="K11" s="244"/>
      <c r="L11" s="241">
        <v>1261863.634</v>
      </c>
      <c r="M11" s="244">
        <v>1261863.634</v>
      </c>
      <c r="N11" s="244">
        <v>0</v>
      </c>
      <c r="O11" s="244">
        <v>0</v>
      </c>
      <c r="P11" s="241">
        <v>1758029.633</v>
      </c>
      <c r="Q11" s="244">
        <v>0</v>
      </c>
      <c r="R11" s="241">
        <v>928627.356</v>
      </c>
      <c r="S11" s="244"/>
      <c r="T11" s="241">
        <v>321167.631</v>
      </c>
      <c r="U11" s="244"/>
      <c r="V11" s="241">
        <v>1468989.442</v>
      </c>
      <c r="W11" s="244"/>
      <c r="X11" s="244"/>
      <c r="Y11" s="241">
        <v>349192.748</v>
      </c>
      <c r="Z11" s="244"/>
      <c r="AA11" s="241">
        <v>0</v>
      </c>
      <c r="AB11" s="244"/>
      <c r="AC11" s="241">
        <v>0</v>
      </c>
      <c r="AD11" s="241">
        <v>807715.382</v>
      </c>
      <c r="AE11" s="244"/>
      <c r="AF11" s="241">
        <v>0</v>
      </c>
      <c r="AG11" s="241">
        <v>184378.956</v>
      </c>
      <c r="AH11" s="241">
        <v>340968.964</v>
      </c>
      <c r="AI11" s="241">
        <v>0</v>
      </c>
      <c r="AJ11" s="244">
        <v>0</v>
      </c>
      <c r="AK11" s="241">
        <v>264953.133</v>
      </c>
      <c r="AL11" s="244"/>
      <c r="AM11" s="241">
        <v>175676.749</v>
      </c>
      <c r="AN11" s="244"/>
      <c r="AO11" s="241">
        <v>0</v>
      </c>
      <c r="AP11" s="244"/>
      <c r="AQ11" s="241">
        <v>31048.6</v>
      </c>
      <c r="AR11" s="241">
        <v>69457.228</v>
      </c>
      <c r="AS11" s="244"/>
      <c r="AT11" s="241">
        <v>476589.822</v>
      </c>
      <c r="AU11" s="244"/>
      <c r="AV11" s="241">
        <v>628938</v>
      </c>
      <c r="AW11" s="244"/>
      <c r="AX11" s="241">
        <v>145356.139</v>
      </c>
      <c r="AY11" s="241">
        <v>0</v>
      </c>
      <c r="AZ11" s="244"/>
      <c r="BA11" s="241">
        <v>319976.409</v>
      </c>
      <c r="BB11" s="241">
        <v>1851830.742</v>
      </c>
      <c r="BC11" s="244"/>
      <c r="BD11" s="241">
        <v>17415.686</v>
      </c>
      <c r="BE11" s="244"/>
      <c r="BF11" s="241">
        <v>172804.718</v>
      </c>
      <c r="BG11" s="244"/>
      <c r="BH11" s="241">
        <v>0</v>
      </c>
      <c r="BI11" s="244"/>
      <c r="BJ11" s="241">
        <v>0</v>
      </c>
      <c r="BK11" s="241">
        <v>0</v>
      </c>
      <c r="BL11" s="244">
        <v>0</v>
      </c>
      <c r="BM11" s="244">
        <v>0</v>
      </c>
      <c r="BN11" s="241">
        <v>0</v>
      </c>
      <c r="BO11" s="241">
        <v>425791.203</v>
      </c>
      <c r="BP11" s="241">
        <v>0</v>
      </c>
      <c r="BQ11" s="241">
        <v>0</v>
      </c>
      <c r="BR11" s="241">
        <v>0</v>
      </c>
      <c r="BS11" s="244">
        <v>0</v>
      </c>
      <c r="BT11" s="244">
        <v>0</v>
      </c>
      <c r="BU11" s="244">
        <v>0</v>
      </c>
      <c r="BV11" s="241">
        <v>0</v>
      </c>
      <c r="BW11" s="241">
        <v>195539.204</v>
      </c>
      <c r="BX11" s="241">
        <v>423058.983</v>
      </c>
      <c r="BY11" s="244"/>
      <c r="BZ11" s="241">
        <v>0</v>
      </c>
      <c r="CA11" s="244">
        <v>0</v>
      </c>
      <c r="CB11" s="244">
        <f t="shared" si="0"/>
        <v>0</v>
      </c>
      <c r="CC11" s="241">
        <v>11222.834</v>
      </c>
      <c r="CD11" s="241">
        <v>253729.305</v>
      </c>
      <c r="CE11" s="244"/>
      <c r="CF11" s="241">
        <v>0</v>
      </c>
      <c r="CG11" s="241">
        <v>0</v>
      </c>
      <c r="CH11" s="241">
        <v>83494.271</v>
      </c>
      <c r="CI11" s="241">
        <v>81655.887</v>
      </c>
      <c r="CJ11" s="241">
        <v>0</v>
      </c>
      <c r="CK11" s="241">
        <v>75956.551</v>
      </c>
      <c r="CL11" s="241">
        <v>0</v>
      </c>
      <c r="CM11" s="241">
        <v>10306.958</v>
      </c>
      <c r="CN11" s="241">
        <v>234.156</v>
      </c>
      <c r="CO11" s="241">
        <v>0</v>
      </c>
      <c r="CP11" s="241">
        <v>0</v>
      </c>
      <c r="CQ11" s="244"/>
      <c r="CR11" s="241">
        <v>0</v>
      </c>
      <c r="CS11" s="241">
        <v>0</v>
      </c>
      <c r="CT11" s="241"/>
      <c r="CV11" s="93">
        <f t="shared" si="1"/>
        <v>17900909.668999996</v>
      </c>
      <c r="CW11" s="93"/>
      <c r="CX11" s="93">
        <f t="shared" si="2"/>
        <v>724573.918</v>
      </c>
      <c r="CY11" s="93">
        <f t="shared" si="3"/>
        <v>17176335.751000002</v>
      </c>
      <c r="CZ11" s="241"/>
      <c r="DA11" s="210">
        <f t="shared" si="4"/>
        <v>0</v>
      </c>
    </row>
    <row r="12" spans="1:105" ht="12.75">
      <c r="A12" s="319" t="s">
        <v>488</v>
      </c>
      <c r="B12" s="241">
        <v>0</v>
      </c>
      <c r="C12" s="244"/>
      <c r="D12" s="241">
        <v>0</v>
      </c>
      <c r="E12" s="244">
        <v>0</v>
      </c>
      <c r="F12" s="244">
        <v>0</v>
      </c>
      <c r="G12" s="244">
        <v>0</v>
      </c>
      <c r="H12" s="244">
        <v>0</v>
      </c>
      <c r="I12" s="244">
        <v>0</v>
      </c>
      <c r="J12" s="241">
        <v>0</v>
      </c>
      <c r="K12" s="244"/>
      <c r="L12" s="241">
        <v>0</v>
      </c>
      <c r="M12" s="244">
        <f>+L12-N12</f>
        <v>0</v>
      </c>
      <c r="N12" s="244">
        <v>0</v>
      </c>
      <c r="O12" s="244">
        <v>0</v>
      </c>
      <c r="P12" s="241">
        <v>0</v>
      </c>
      <c r="Q12" s="244">
        <v>0</v>
      </c>
      <c r="R12" s="241">
        <v>0</v>
      </c>
      <c r="S12" s="244"/>
      <c r="T12" s="241">
        <v>0</v>
      </c>
      <c r="U12" s="244"/>
      <c r="V12" s="241">
        <v>0</v>
      </c>
      <c r="W12" s="244"/>
      <c r="X12" s="244"/>
      <c r="Y12" s="241">
        <v>0</v>
      </c>
      <c r="Z12" s="244"/>
      <c r="AA12" s="241">
        <v>0</v>
      </c>
      <c r="AB12" s="244"/>
      <c r="AC12" s="241">
        <v>0</v>
      </c>
      <c r="AD12" s="241">
        <v>6088.776</v>
      </c>
      <c r="AE12" s="244"/>
      <c r="AF12" s="241">
        <v>0</v>
      </c>
      <c r="AG12" s="241">
        <v>0</v>
      </c>
      <c r="AH12" s="241">
        <v>0</v>
      </c>
      <c r="AI12" s="241">
        <v>0</v>
      </c>
      <c r="AJ12" s="244">
        <v>0</v>
      </c>
      <c r="AK12" s="241">
        <v>0</v>
      </c>
      <c r="AL12" s="244"/>
      <c r="AM12" s="241">
        <v>0</v>
      </c>
      <c r="AN12" s="244"/>
      <c r="AO12" s="241">
        <v>0</v>
      </c>
      <c r="AP12" s="244"/>
      <c r="AQ12" s="241">
        <v>0</v>
      </c>
      <c r="AR12" s="241">
        <v>4347.663</v>
      </c>
      <c r="AS12" s="244"/>
      <c r="AT12" s="241">
        <v>0</v>
      </c>
      <c r="AU12" s="244"/>
      <c r="AV12" s="241">
        <v>0</v>
      </c>
      <c r="AW12" s="244"/>
      <c r="AX12" s="241">
        <v>0</v>
      </c>
      <c r="AY12" s="241">
        <v>0</v>
      </c>
      <c r="AZ12" s="244"/>
      <c r="BA12" s="241">
        <v>120000.18</v>
      </c>
      <c r="BB12" s="241">
        <v>0</v>
      </c>
      <c r="BC12" s="244"/>
      <c r="BD12" s="241">
        <v>0</v>
      </c>
      <c r="BE12" s="244"/>
      <c r="BF12" s="241">
        <v>0</v>
      </c>
      <c r="BG12" s="244"/>
      <c r="BH12" s="241">
        <v>0</v>
      </c>
      <c r="BI12" s="244"/>
      <c r="BJ12" s="241">
        <v>0</v>
      </c>
      <c r="BK12" s="241">
        <v>0</v>
      </c>
      <c r="BL12" s="244">
        <v>0</v>
      </c>
      <c r="BM12" s="244">
        <v>0</v>
      </c>
      <c r="BN12" s="241">
        <v>0</v>
      </c>
      <c r="BO12" s="241">
        <v>0</v>
      </c>
      <c r="BP12" s="241">
        <v>8686.469</v>
      </c>
      <c r="BQ12" s="241">
        <v>0</v>
      </c>
      <c r="BR12" s="241">
        <v>0</v>
      </c>
      <c r="BS12" s="244">
        <v>0</v>
      </c>
      <c r="BT12" s="244">
        <v>0</v>
      </c>
      <c r="BU12" s="244">
        <v>0</v>
      </c>
      <c r="BV12" s="241">
        <v>0</v>
      </c>
      <c r="BW12" s="241">
        <v>0</v>
      </c>
      <c r="BX12" s="241">
        <v>0</v>
      </c>
      <c r="BY12" s="244"/>
      <c r="BZ12" s="241">
        <v>0</v>
      </c>
      <c r="CA12" s="244">
        <v>0</v>
      </c>
      <c r="CB12" s="244">
        <f t="shared" si="0"/>
        <v>0</v>
      </c>
      <c r="CC12" s="241">
        <v>0</v>
      </c>
      <c r="CD12" s="241">
        <v>0</v>
      </c>
      <c r="CE12" s="244"/>
      <c r="CF12" s="241">
        <v>0</v>
      </c>
      <c r="CG12" s="241">
        <v>0</v>
      </c>
      <c r="CH12" s="241">
        <v>0</v>
      </c>
      <c r="CI12" s="241">
        <v>0</v>
      </c>
      <c r="CJ12" s="241">
        <v>0</v>
      </c>
      <c r="CK12" s="241">
        <v>0</v>
      </c>
      <c r="CL12" s="241">
        <v>0</v>
      </c>
      <c r="CM12" s="241">
        <v>0</v>
      </c>
      <c r="CN12" s="241">
        <v>0</v>
      </c>
      <c r="CO12" s="241">
        <v>0</v>
      </c>
      <c r="CP12" s="241">
        <v>0</v>
      </c>
      <c r="CQ12" s="244"/>
      <c r="CR12" s="241">
        <v>0</v>
      </c>
      <c r="CS12" s="241">
        <v>0</v>
      </c>
      <c r="CT12" s="241"/>
      <c r="CV12" s="93">
        <f t="shared" si="1"/>
        <v>139123.088</v>
      </c>
      <c r="CW12" s="93"/>
      <c r="CX12" s="93">
        <f t="shared" si="2"/>
        <v>0</v>
      </c>
      <c r="CY12" s="93">
        <f t="shared" si="3"/>
        <v>139123.088</v>
      </c>
      <c r="CZ12" s="241"/>
      <c r="DA12" s="210">
        <f t="shared" si="4"/>
        <v>0</v>
      </c>
    </row>
    <row r="13" spans="1:105" ht="12.75">
      <c r="A13" s="319" t="s">
        <v>489</v>
      </c>
      <c r="B13" s="241">
        <v>130</v>
      </c>
      <c r="C13" s="244"/>
      <c r="D13" s="241">
        <v>0</v>
      </c>
      <c r="E13" s="244">
        <v>0</v>
      </c>
      <c r="F13" s="244">
        <v>0</v>
      </c>
      <c r="G13" s="244">
        <v>0</v>
      </c>
      <c r="H13" s="244">
        <v>0</v>
      </c>
      <c r="I13" s="244">
        <v>0</v>
      </c>
      <c r="J13" s="241">
        <v>0</v>
      </c>
      <c r="K13" s="244"/>
      <c r="L13" s="241">
        <v>0</v>
      </c>
      <c r="M13" s="244">
        <f>+L13-N13</f>
        <v>0</v>
      </c>
      <c r="N13" s="244">
        <v>0</v>
      </c>
      <c r="O13" s="244">
        <v>0</v>
      </c>
      <c r="P13" s="241">
        <v>1582.793</v>
      </c>
      <c r="Q13" s="244">
        <v>0</v>
      </c>
      <c r="R13" s="241">
        <v>144328.765</v>
      </c>
      <c r="S13" s="244"/>
      <c r="T13" s="241">
        <v>0</v>
      </c>
      <c r="U13" s="244"/>
      <c r="V13" s="241">
        <v>0</v>
      </c>
      <c r="W13" s="244"/>
      <c r="X13" s="244"/>
      <c r="Y13" s="241">
        <v>44140.045</v>
      </c>
      <c r="Z13" s="244"/>
      <c r="AA13" s="241">
        <v>0</v>
      </c>
      <c r="AB13" s="244"/>
      <c r="AC13" s="241">
        <v>0</v>
      </c>
      <c r="AD13" s="241">
        <v>0</v>
      </c>
      <c r="AE13" s="244"/>
      <c r="AF13" s="241">
        <v>20747</v>
      </c>
      <c r="AG13" s="241">
        <v>0</v>
      </c>
      <c r="AH13" s="241">
        <v>11325.388</v>
      </c>
      <c r="AI13" s="241">
        <v>0</v>
      </c>
      <c r="AJ13" s="244">
        <v>0</v>
      </c>
      <c r="AK13" s="241">
        <v>0</v>
      </c>
      <c r="AL13" s="244"/>
      <c r="AM13" s="241">
        <v>3452.897</v>
      </c>
      <c r="AN13" s="244"/>
      <c r="AO13" s="241">
        <v>0</v>
      </c>
      <c r="AP13" s="244"/>
      <c r="AQ13" s="241">
        <v>0</v>
      </c>
      <c r="AR13" s="241">
        <v>0</v>
      </c>
      <c r="AS13" s="244"/>
      <c r="AT13" s="241">
        <v>0</v>
      </c>
      <c r="AU13" s="244"/>
      <c r="AV13" s="241">
        <v>0</v>
      </c>
      <c r="AW13" s="244"/>
      <c r="AX13" s="241">
        <v>0</v>
      </c>
      <c r="AY13" s="241">
        <v>0</v>
      </c>
      <c r="AZ13" s="244"/>
      <c r="BA13" s="241">
        <v>0</v>
      </c>
      <c r="BB13" s="241">
        <v>0</v>
      </c>
      <c r="BC13" s="244"/>
      <c r="BD13" s="241">
        <v>0</v>
      </c>
      <c r="BE13" s="244"/>
      <c r="BF13" s="241">
        <v>0</v>
      </c>
      <c r="BG13" s="244"/>
      <c r="BH13" s="241">
        <v>0</v>
      </c>
      <c r="BI13" s="244"/>
      <c r="BJ13" s="241">
        <v>0</v>
      </c>
      <c r="BK13" s="241">
        <v>0</v>
      </c>
      <c r="BL13" s="244">
        <v>0</v>
      </c>
      <c r="BM13" s="244">
        <v>0</v>
      </c>
      <c r="BN13" s="241">
        <v>0</v>
      </c>
      <c r="BO13" s="241">
        <v>0</v>
      </c>
      <c r="BP13" s="241">
        <v>0</v>
      </c>
      <c r="BQ13" s="241">
        <v>0</v>
      </c>
      <c r="BR13" s="241">
        <v>0</v>
      </c>
      <c r="BS13" s="244">
        <v>0</v>
      </c>
      <c r="BT13" s="244">
        <v>0</v>
      </c>
      <c r="BU13" s="244">
        <v>0</v>
      </c>
      <c r="BV13" s="241">
        <v>0</v>
      </c>
      <c r="BW13" s="241">
        <v>0</v>
      </c>
      <c r="BX13" s="241">
        <v>40000</v>
      </c>
      <c r="BY13" s="244"/>
      <c r="BZ13" s="241">
        <v>0</v>
      </c>
      <c r="CA13" s="244">
        <v>0</v>
      </c>
      <c r="CB13" s="244">
        <f t="shared" si="0"/>
        <v>0</v>
      </c>
      <c r="CC13" s="241">
        <v>0</v>
      </c>
      <c r="CD13" s="241">
        <v>0</v>
      </c>
      <c r="CE13" s="244"/>
      <c r="CF13" s="241">
        <v>0</v>
      </c>
      <c r="CG13" s="241">
        <v>0</v>
      </c>
      <c r="CH13" s="241">
        <v>0</v>
      </c>
      <c r="CI13" s="241">
        <v>0</v>
      </c>
      <c r="CJ13" s="241">
        <v>0</v>
      </c>
      <c r="CK13" s="241">
        <v>0</v>
      </c>
      <c r="CL13" s="241">
        <v>0</v>
      </c>
      <c r="CM13" s="241">
        <v>0</v>
      </c>
      <c r="CN13" s="241">
        <v>0</v>
      </c>
      <c r="CO13" s="241">
        <v>0</v>
      </c>
      <c r="CP13" s="241">
        <v>0</v>
      </c>
      <c r="CQ13" s="244"/>
      <c r="CR13" s="241">
        <v>0</v>
      </c>
      <c r="CS13" s="241">
        <v>0</v>
      </c>
      <c r="CT13" s="241"/>
      <c r="CV13" s="93">
        <f t="shared" si="1"/>
        <v>265706.88800000004</v>
      </c>
      <c r="CW13" s="93"/>
      <c r="CX13" s="93">
        <f t="shared" si="2"/>
        <v>0</v>
      </c>
      <c r="CY13" s="93">
        <f t="shared" si="3"/>
        <v>265706.88800000004</v>
      </c>
      <c r="CZ13" s="241"/>
      <c r="DA13" s="210">
        <f t="shared" si="4"/>
        <v>0</v>
      </c>
    </row>
    <row r="14" spans="1:105" ht="12.75">
      <c r="A14" s="319" t="s">
        <v>490</v>
      </c>
      <c r="B14" s="241">
        <v>532196.625</v>
      </c>
      <c r="C14" s="244"/>
      <c r="D14" s="241">
        <v>5247</v>
      </c>
      <c r="E14" s="244">
        <v>0</v>
      </c>
      <c r="F14" s="244">
        <v>0</v>
      </c>
      <c r="G14" s="244">
        <v>0</v>
      </c>
      <c r="H14" s="244">
        <v>0</v>
      </c>
      <c r="I14" s="244">
        <v>5247</v>
      </c>
      <c r="J14" s="241">
        <f>1675931.155+3910.055</f>
        <v>1679841.21</v>
      </c>
      <c r="K14" s="244"/>
      <c r="L14" s="241">
        <v>15339.57</v>
      </c>
      <c r="M14" s="244">
        <v>125649.442</v>
      </c>
      <c r="N14" s="244">
        <v>0</v>
      </c>
      <c r="O14" s="244">
        <v>0</v>
      </c>
      <c r="P14" s="241">
        <f>42834.079+281610.3</f>
        <v>324444.37899999996</v>
      </c>
      <c r="Q14" s="244">
        <v>191.183</v>
      </c>
      <c r="R14" s="241">
        <v>38451.721</v>
      </c>
      <c r="S14" s="244"/>
      <c r="T14" s="241">
        <v>0</v>
      </c>
      <c r="U14" s="244"/>
      <c r="V14" s="241">
        <v>0</v>
      </c>
      <c r="W14" s="244"/>
      <c r="X14" s="244"/>
      <c r="Y14" s="241">
        <v>109950.784</v>
      </c>
      <c r="Z14" s="244"/>
      <c r="AA14" s="241">
        <v>32355.975</v>
      </c>
      <c r="AB14" s="244"/>
      <c r="AC14" s="241">
        <v>0</v>
      </c>
      <c r="AD14" s="241">
        <v>19081.883</v>
      </c>
      <c r="AE14" s="244"/>
      <c r="AF14" s="241">
        <v>19454</v>
      </c>
      <c r="AG14" s="241">
        <v>0</v>
      </c>
      <c r="AH14" s="241">
        <v>5936.213</v>
      </c>
      <c r="AI14" s="241">
        <v>156.019</v>
      </c>
      <c r="AJ14" s="244">
        <v>0</v>
      </c>
      <c r="AK14" s="241">
        <v>3634.451</v>
      </c>
      <c r="AL14" s="244"/>
      <c r="AM14" s="241">
        <v>0</v>
      </c>
      <c r="AN14" s="244"/>
      <c r="AO14" s="241">
        <v>3709.74</v>
      </c>
      <c r="AP14" s="244"/>
      <c r="AQ14" s="241">
        <v>0</v>
      </c>
      <c r="AR14" s="241">
        <v>632.063</v>
      </c>
      <c r="AS14" s="244"/>
      <c r="AT14" s="241">
        <f>2206.457+741.341</f>
        <v>2947.798</v>
      </c>
      <c r="AU14" s="244"/>
      <c r="AV14" s="241">
        <v>0</v>
      </c>
      <c r="AW14" s="244"/>
      <c r="AX14" s="241">
        <v>37658.31</v>
      </c>
      <c r="AY14" s="241">
        <v>12933.516</v>
      </c>
      <c r="AZ14" s="244"/>
      <c r="BA14" s="241">
        <v>0</v>
      </c>
      <c r="BB14" s="241">
        <v>88.948</v>
      </c>
      <c r="BC14" s="244"/>
      <c r="BD14" s="241">
        <v>250</v>
      </c>
      <c r="BE14" s="244"/>
      <c r="BF14" s="241">
        <v>380615.71</v>
      </c>
      <c r="BG14" s="244"/>
      <c r="BH14" s="241">
        <v>0</v>
      </c>
      <c r="BI14" s="244"/>
      <c r="BJ14" s="241">
        <v>572386.308</v>
      </c>
      <c r="BK14" s="241">
        <v>967.249</v>
      </c>
      <c r="BL14" s="244">
        <v>995.207</v>
      </c>
      <c r="BM14" s="244"/>
      <c r="BN14" s="241">
        <v>0</v>
      </c>
      <c r="BO14" s="241">
        <v>16603.997</v>
      </c>
      <c r="BP14" s="241">
        <v>0</v>
      </c>
      <c r="BQ14" s="241">
        <v>0</v>
      </c>
      <c r="BR14" s="241">
        <v>68295.185</v>
      </c>
      <c r="BS14" s="244">
        <v>57079.726</v>
      </c>
      <c r="BT14" s="244">
        <v>11089.165</v>
      </c>
      <c r="BU14" s="244">
        <v>126.294</v>
      </c>
      <c r="BV14" s="241">
        <v>98330.542</v>
      </c>
      <c r="BW14" s="241">
        <v>1765.665</v>
      </c>
      <c r="BX14" s="241">
        <v>18420.975</v>
      </c>
      <c r="BY14" s="244"/>
      <c r="BZ14" s="241">
        <v>15091.439</v>
      </c>
      <c r="CA14" s="244">
        <v>0</v>
      </c>
      <c r="CB14" s="244">
        <f t="shared" si="0"/>
        <v>15091.439</v>
      </c>
      <c r="CC14" s="241">
        <f>130.054+6867.133</f>
        <v>6997.187</v>
      </c>
      <c r="CD14" s="241">
        <v>427.821</v>
      </c>
      <c r="CE14" s="244"/>
      <c r="CF14" s="241">
        <v>43.137</v>
      </c>
      <c r="CG14" s="241">
        <v>0</v>
      </c>
      <c r="CH14" s="241">
        <v>0</v>
      </c>
      <c r="CI14" s="241">
        <v>625.315</v>
      </c>
      <c r="CJ14" s="241">
        <v>0</v>
      </c>
      <c r="CK14" s="241">
        <f>6699.479+8900</f>
        <v>15599.479</v>
      </c>
      <c r="CL14" s="241">
        <v>0</v>
      </c>
      <c r="CM14" s="241">
        <v>207.637</v>
      </c>
      <c r="CN14" s="241">
        <v>0</v>
      </c>
      <c r="CO14" s="241">
        <v>0</v>
      </c>
      <c r="CP14" s="241">
        <v>1532.943</v>
      </c>
      <c r="CQ14" s="244"/>
      <c r="CR14" s="241">
        <v>11388.96</v>
      </c>
      <c r="CS14" s="241">
        <v>0</v>
      </c>
      <c r="CT14" s="241"/>
      <c r="CV14" s="93">
        <f t="shared" si="1"/>
        <v>4053609.753999999</v>
      </c>
      <c r="CW14" s="93"/>
      <c r="CX14" s="93">
        <f t="shared" si="2"/>
        <v>674425.331</v>
      </c>
      <c r="CY14" s="93">
        <f t="shared" si="3"/>
        <v>3379184.422999999</v>
      </c>
      <c r="CZ14" s="241"/>
      <c r="DA14" s="210">
        <f t="shared" si="4"/>
        <v>0</v>
      </c>
    </row>
    <row r="15" spans="1:105" ht="13.5">
      <c r="A15" s="321" t="s">
        <v>481</v>
      </c>
      <c r="B15" s="93">
        <f>SUM(B6:B14)</f>
        <v>18263654.097999997</v>
      </c>
      <c r="C15" s="219"/>
      <c r="D15" s="93">
        <f>SUM(D6:D14)+1</f>
        <v>23664449</v>
      </c>
      <c r="E15" s="219">
        <f>SUM(E6:E14)+1</f>
        <v>18167212</v>
      </c>
      <c r="F15" s="219">
        <f>SUM(F6:F14)+1</f>
        <v>4907073</v>
      </c>
      <c r="G15" s="219">
        <f>SUM(G6:G14)</f>
        <v>217849</v>
      </c>
      <c r="H15" s="219">
        <f>SUM(H6:H14)</f>
        <v>33020</v>
      </c>
      <c r="I15" s="219">
        <f>SUM(I6:I14)+1</f>
        <v>498542</v>
      </c>
      <c r="J15" s="93">
        <f aca="true" t="shared" si="5" ref="J15:V15">SUM(J6:J14)</f>
        <v>14075615.002</v>
      </c>
      <c r="K15" s="219"/>
      <c r="L15" s="93">
        <f t="shared" si="5"/>
        <v>17622864.716</v>
      </c>
      <c r="M15" s="219">
        <f t="shared" si="5"/>
        <v>17620608.667000003</v>
      </c>
      <c r="N15" s="219">
        <f t="shared" si="5"/>
        <v>95228.648</v>
      </c>
      <c r="O15" s="219">
        <f t="shared" si="5"/>
        <v>17337.273</v>
      </c>
      <c r="P15" s="93">
        <f t="shared" si="5"/>
        <v>9572708.75</v>
      </c>
      <c r="Q15" s="93">
        <f t="shared" si="5"/>
        <v>3012.918</v>
      </c>
      <c r="R15" s="93">
        <f t="shared" si="5"/>
        <v>4798220.721999999</v>
      </c>
      <c r="S15" s="219"/>
      <c r="T15" s="93">
        <f t="shared" si="5"/>
        <v>3370101.223</v>
      </c>
      <c r="U15" s="219"/>
      <c r="V15" s="93">
        <f t="shared" si="5"/>
        <v>4421072.9969999995</v>
      </c>
      <c r="W15" s="219"/>
      <c r="X15" s="219"/>
      <c r="Y15" s="93">
        <f aca="true" t="shared" si="6" ref="Y15:BV15">SUM(Y6:Y14)</f>
        <v>4112894.65</v>
      </c>
      <c r="Z15" s="219"/>
      <c r="AA15" s="93">
        <f t="shared" si="6"/>
        <v>3605544.3239999996</v>
      </c>
      <c r="AB15" s="219"/>
      <c r="AC15" s="93">
        <f t="shared" si="6"/>
        <v>6195206.95</v>
      </c>
      <c r="AD15" s="93">
        <f t="shared" si="6"/>
        <v>2716641.465</v>
      </c>
      <c r="AE15" s="219">
        <v>2594</v>
      </c>
      <c r="AF15" s="93">
        <f t="shared" si="6"/>
        <v>1939741</v>
      </c>
      <c r="AG15" s="93">
        <f t="shared" si="6"/>
        <v>3325291.9520000005</v>
      </c>
      <c r="AH15" s="93">
        <f t="shared" si="6"/>
        <v>7541132.652</v>
      </c>
      <c r="AI15" s="93">
        <f t="shared" si="6"/>
        <v>1635844.8960000002</v>
      </c>
      <c r="AJ15" s="219">
        <f t="shared" si="6"/>
        <v>56099.45</v>
      </c>
      <c r="AK15" s="93">
        <f t="shared" si="6"/>
        <v>1696301.389</v>
      </c>
      <c r="AL15" s="219"/>
      <c r="AM15" s="93">
        <f t="shared" si="6"/>
        <v>3455411.041</v>
      </c>
      <c r="AN15" s="219"/>
      <c r="AO15" s="93">
        <f t="shared" si="6"/>
        <v>4145986.7550000004</v>
      </c>
      <c r="AP15" s="219"/>
      <c r="AQ15" s="93">
        <f t="shared" si="6"/>
        <v>1889043.2310000004</v>
      </c>
      <c r="AR15" s="93">
        <f t="shared" si="6"/>
        <v>1437056.3890000002</v>
      </c>
      <c r="AS15" s="219"/>
      <c r="AT15" s="93">
        <f t="shared" si="6"/>
        <v>1243676.602</v>
      </c>
      <c r="AU15" s="219"/>
      <c r="AV15" s="93">
        <f t="shared" si="6"/>
        <v>4490252</v>
      </c>
      <c r="AW15" s="219"/>
      <c r="AX15" s="93">
        <f t="shared" si="6"/>
        <v>1294763.511</v>
      </c>
      <c r="AY15" s="93">
        <f t="shared" si="6"/>
        <v>1547865.197</v>
      </c>
      <c r="AZ15" s="219"/>
      <c r="BA15" s="93">
        <f t="shared" si="6"/>
        <v>2137691.18</v>
      </c>
      <c r="BB15" s="93">
        <f t="shared" si="6"/>
        <v>3337532.9529999997</v>
      </c>
      <c r="BC15" s="219"/>
      <c r="BD15" s="93">
        <f t="shared" si="6"/>
        <v>582969.244</v>
      </c>
      <c r="BE15" s="219"/>
      <c r="BF15" s="93">
        <f t="shared" si="6"/>
        <v>2084788.4389999998</v>
      </c>
      <c r="BG15" s="219"/>
      <c r="BH15" s="93">
        <f t="shared" si="6"/>
        <v>670694.608</v>
      </c>
      <c r="BI15" s="219"/>
      <c r="BJ15" s="93">
        <f t="shared" si="6"/>
        <v>2571811.391</v>
      </c>
      <c r="BK15" s="93">
        <f t="shared" si="6"/>
        <v>448034.05600000004</v>
      </c>
      <c r="BL15" s="219">
        <f>SUM(BL6:BL14)</f>
        <v>337924.952</v>
      </c>
      <c r="BM15" s="219">
        <f>SUM(BM6:BM14)</f>
        <v>110213.96399999999</v>
      </c>
      <c r="BN15" s="93">
        <f t="shared" si="6"/>
        <v>680611.89</v>
      </c>
      <c r="BO15" s="93">
        <f t="shared" si="6"/>
        <v>784230.1029999999</v>
      </c>
      <c r="BP15" s="93">
        <f t="shared" si="6"/>
        <v>598410.0150000001</v>
      </c>
      <c r="BQ15" s="93">
        <f t="shared" si="6"/>
        <v>302216.091</v>
      </c>
      <c r="BR15" s="93">
        <f t="shared" si="6"/>
        <v>1472292.199</v>
      </c>
      <c r="BS15" s="219">
        <f t="shared" si="6"/>
        <v>1272660.462</v>
      </c>
      <c r="BT15" s="219">
        <f t="shared" si="6"/>
        <v>175740.20599999998</v>
      </c>
      <c r="BU15" s="219">
        <f t="shared" si="6"/>
        <v>23891.531000000003</v>
      </c>
      <c r="BV15" s="93">
        <f t="shared" si="6"/>
        <v>463617.901</v>
      </c>
      <c r="BW15" s="93">
        <f aca="true" t="shared" si="7" ref="BW15:CS15">SUM(BW6:BW14)</f>
        <v>499627.37700000004</v>
      </c>
      <c r="BX15" s="93">
        <f t="shared" si="7"/>
        <v>1250694.3930000002</v>
      </c>
      <c r="BY15" s="219"/>
      <c r="BZ15" s="93">
        <f t="shared" si="7"/>
        <v>311110.28500000003</v>
      </c>
      <c r="CA15" s="219">
        <f t="shared" si="7"/>
        <v>50817.346</v>
      </c>
      <c r="CB15" s="219">
        <f t="shared" si="7"/>
        <v>260292.939</v>
      </c>
      <c r="CC15" s="93">
        <f t="shared" si="7"/>
        <v>251113.93799999997</v>
      </c>
      <c r="CD15" s="93">
        <f t="shared" si="7"/>
        <v>579929.746</v>
      </c>
      <c r="CE15" s="219"/>
      <c r="CF15" s="93">
        <f t="shared" si="7"/>
        <v>269969.44</v>
      </c>
      <c r="CG15" s="93">
        <f t="shared" si="7"/>
        <v>282781.66</v>
      </c>
      <c r="CH15" s="93">
        <f t="shared" si="7"/>
        <v>213544.695</v>
      </c>
      <c r="CI15" s="93">
        <f t="shared" si="7"/>
        <v>195048.729</v>
      </c>
      <c r="CJ15" s="93">
        <f t="shared" si="7"/>
        <v>148260.835</v>
      </c>
      <c r="CK15" s="93">
        <f t="shared" si="7"/>
        <v>172094.233</v>
      </c>
      <c r="CL15" s="93">
        <f t="shared" si="7"/>
        <v>70567.254</v>
      </c>
      <c r="CM15" s="93">
        <f t="shared" si="7"/>
        <v>78834.46</v>
      </c>
      <c r="CN15" s="93">
        <f t="shared" si="7"/>
        <v>35872.777</v>
      </c>
      <c r="CO15" s="93">
        <f t="shared" si="7"/>
        <v>101999.176</v>
      </c>
      <c r="CP15" s="93">
        <f t="shared" si="7"/>
        <v>38716.36</v>
      </c>
      <c r="CQ15" s="219"/>
      <c r="CR15" s="93">
        <f t="shared" si="7"/>
        <v>43797.13799999999</v>
      </c>
      <c r="CS15" s="93">
        <f t="shared" si="7"/>
        <v>1997.667</v>
      </c>
      <c r="CT15" s="93"/>
      <c r="CV15" s="93">
        <f t="shared" si="1"/>
        <v>168742200.745</v>
      </c>
      <c r="CW15" s="93"/>
      <c r="CX15" s="93">
        <f t="shared" si="2"/>
        <v>32050460.859</v>
      </c>
      <c r="CY15" s="93">
        <f t="shared" si="3"/>
        <v>136691739.88599998</v>
      </c>
      <c r="CZ15" s="93"/>
      <c r="DA15" s="210">
        <f t="shared" si="4"/>
        <v>0</v>
      </c>
    </row>
    <row r="16" spans="1:105" ht="8.25" customHeight="1">
      <c r="A16" s="322"/>
      <c r="CV16" s="93"/>
      <c r="CW16" s="93"/>
      <c r="CX16" s="93"/>
      <c r="CY16" s="93"/>
      <c r="DA16" s="210">
        <f t="shared" si="4"/>
        <v>0</v>
      </c>
    </row>
    <row r="17" spans="1:105" ht="12.75">
      <c r="A17" s="318" t="s">
        <v>491</v>
      </c>
      <c r="B17" s="241"/>
      <c r="C17" s="244"/>
      <c r="D17" s="241"/>
      <c r="E17" s="244"/>
      <c r="F17" s="244"/>
      <c r="G17" s="244"/>
      <c r="H17" s="244"/>
      <c r="I17" s="244"/>
      <c r="J17" s="241"/>
      <c r="K17" s="244"/>
      <c r="L17" s="241"/>
      <c r="M17" s="244"/>
      <c r="N17" s="244"/>
      <c r="O17" s="244"/>
      <c r="P17" s="241"/>
      <c r="Q17" s="244"/>
      <c r="R17" s="241"/>
      <c r="S17" s="244"/>
      <c r="T17" s="241"/>
      <c r="U17" s="244"/>
      <c r="V17" s="241"/>
      <c r="W17" s="244"/>
      <c r="X17" s="244"/>
      <c r="Y17" s="241"/>
      <c r="Z17" s="244"/>
      <c r="AA17" s="241"/>
      <c r="AB17" s="244"/>
      <c r="AC17" s="241"/>
      <c r="AD17" s="241"/>
      <c r="AE17" s="244"/>
      <c r="AF17" s="241"/>
      <c r="AG17" s="241"/>
      <c r="AH17" s="241"/>
      <c r="AI17" s="241"/>
      <c r="AJ17" s="244"/>
      <c r="AK17" s="241"/>
      <c r="AL17" s="244"/>
      <c r="AM17" s="241"/>
      <c r="AN17" s="244"/>
      <c r="AO17" s="241"/>
      <c r="AP17" s="244"/>
      <c r="AQ17" s="241"/>
      <c r="AR17" s="241"/>
      <c r="AS17" s="244"/>
      <c r="AT17" s="241"/>
      <c r="AU17" s="244"/>
      <c r="AV17" s="241"/>
      <c r="AW17" s="244"/>
      <c r="AX17" s="241"/>
      <c r="AY17" s="241"/>
      <c r="AZ17" s="244"/>
      <c r="BA17" s="241"/>
      <c r="BB17" s="241"/>
      <c r="BC17" s="244"/>
      <c r="BD17" s="241"/>
      <c r="BE17" s="244"/>
      <c r="BF17" s="241"/>
      <c r="BG17" s="244"/>
      <c r="BH17" s="241"/>
      <c r="BI17" s="244"/>
      <c r="BJ17" s="241"/>
      <c r="BK17" s="241"/>
      <c r="BL17" s="244"/>
      <c r="BM17" s="244"/>
      <c r="BN17" s="241"/>
      <c r="BO17" s="241"/>
      <c r="BP17" s="241"/>
      <c r="BQ17" s="241"/>
      <c r="BR17" s="241"/>
      <c r="BS17" s="244"/>
      <c r="BT17" s="244"/>
      <c r="BU17" s="244"/>
      <c r="BV17" s="241"/>
      <c r="BW17" s="241"/>
      <c r="BX17" s="241"/>
      <c r="BY17" s="244"/>
      <c r="BZ17" s="241"/>
      <c r="CA17" s="244"/>
      <c r="CB17" s="244"/>
      <c r="CC17" s="241"/>
      <c r="CD17" s="241"/>
      <c r="CE17" s="244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4"/>
      <c r="CR17" s="241"/>
      <c r="CS17" s="241"/>
      <c r="CT17" s="241"/>
      <c r="CV17" s="93"/>
      <c r="CW17" s="93"/>
      <c r="CX17" s="93"/>
      <c r="CY17" s="93"/>
      <c r="CZ17" s="241"/>
      <c r="DA17" s="210">
        <f t="shared" si="4"/>
        <v>0</v>
      </c>
    </row>
    <row r="18" spans="1:105" ht="12.75">
      <c r="A18" s="319" t="s">
        <v>492</v>
      </c>
      <c r="B18" s="241">
        <f>1553781.054+6145.27</f>
        <v>1559926.324</v>
      </c>
      <c r="C18" s="244"/>
      <c r="D18" s="241">
        <v>6306845</v>
      </c>
      <c r="E18" s="244">
        <v>6088128</v>
      </c>
      <c r="F18" s="244">
        <v>11364</v>
      </c>
      <c r="G18" s="244">
        <v>180309</v>
      </c>
      <c r="H18" s="244">
        <v>26437</v>
      </c>
      <c r="I18" s="244">
        <v>607</v>
      </c>
      <c r="J18" s="241">
        <v>1486244.251</v>
      </c>
      <c r="K18" s="244"/>
      <c r="L18" s="241">
        <v>1031280.693</v>
      </c>
      <c r="M18" s="244">
        <v>1029644.741</v>
      </c>
      <c r="N18" s="244">
        <v>0</v>
      </c>
      <c r="O18" s="244">
        <v>1635.952</v>
      </c>
      <c r="P18" s="241">
        <v>869400.301</v>
      </c>
      <c r="Q18" s="244">
        <v>0</v>
      </c>
      <c r="R18" s="241">
        <v>492050.204</v>
      </c>
      <c r="S18" s="244"/>
      <c r="T18" s="241">
        <v>170729.34</v>
      </c>
      <c r="U18" s="244"/>
      <c r="V18" s="241">
        <v>449000.636</v>
      </c>
      <c r="W18" s="244"/>
      <c r="X18" s="244"/>
      <c r="Y18" s="241">
        <v>149706.29</v>
      </c>
      <c r="Z18" s="244"/>
      <c r="AA18" s="241">
        <v>634033.34</v>
      </c>
      <c r="AB18" s="244"/>
      <c r="AC18" s="241">
        <v>269976.551</v>
      </c>
      <c r="AD18" s="241">
        <v>249312.13</v>
      </c>
      <c r="AE18" s="244"/>
      <c r="AF18" s="241">
        <v>162375</v>
      </c>
      <c r="AG18" s="241">
        <v>545555.843</v>
      </c>
      <c r="AH18" s="241">
        <v>357314.646</v>
      </c>
      <c r="AI18" s="241">
        <v>154061.948</v>
      </c>
      <c r="AJ18" s="244">
        <v>0</v>
      </c>
      <c r="AK18" s="241">
        <v>217818.664</v>
      </c>
      <c r="AL18" s="244"/>
      <c r="AM18" s="241">
        <v>87993.002</v>
      </c>
      <c r="AN18" s="244"/>
      <c r="AO18" s="241">
        <v>69343.56</v>
      </c>
      <c r="AP18" s="244"/>
      <c r="AQ18" s="241">
        <v>426362.475</v>
      </c>
      <c r="AR18" s="241">
        <v>222263.265</v>
      </c>
      <c r="AS18" s="244"/>
      <c r="AT18" s="241">
        <v>202809.302</v>
      </c>
      <c r="AU18" s="244"/>
      <c r="AV18" s="241">
        <v>80109</v>
      </c>
      <c r="AW18" s="244"/>
      <c r="AX18" s="241">
        <v>177790.261</v>
      </c>
      <c r="AY18" s="241">
        <v>32331.065</v>
      </c>
      <c r="AZ18" s="244"/>
      <c r="BA18" s="241">
        <v>116302.235</v>
      </c>
      <c r="BB18" s="241">
        <v>59757.555</v>
      </c>
      <c r="BC18" s="244"/>
      <c r="BD18" s="241">
        <v>124189.43</v>
      </c>
      <c r="BE18" s="244"/>
      <c r="BF18" s="241">
        <v>64643.926</v>
      </c>
      <c r="BG18" s="244"/>
      <c r="BH18" s="241">
        <v>118055.889</v>
      </c>
      <c r="BI18" s="244"/>
      <c r="BJ18" s="241">
        <v>924733.296</v>
      </c>
      <c r="BK18" s="241">
        <v>131250.502</v>
      </c>
      <c r="BL18" s="244">
        <f>76.902+103337.534</f>
        <v>103414.436</v>
      </c>
      <c r="BM18" s="244">
        <v>27912.968</v>
      </c>
      <c r="BN18" s="241">
        <v>52424.349</v>
      </c>
      <c r="BO18" s="241">
        <v>75781.211</v>
      </c>
      <c r="BP18" s="241">
        <v>34574.306</v>
      </c>
      <c r="BQ18" s="241">
        <v>36343.109</v>
      </c>
      <c r="BR18" s="241">
        <v>354.959</v>
      </c>
      <c r="BS18" s="244">
        <v>354.959</v>
      </c>
      <c r="BT18" s="244">
        <v>0</v>
      </c>
      <c r="BU18" s="244">
        <v>0</v>
      </c>
      <c r="BV18" s="241">
        <v>26254.269</v>
      </c>
      <c r="BW18" s="241">
        <v>53452.387</v>
      </c>
      <c r="BX18" s="241">
        <v>9230.738</v>
      </c>
      <c r="BY18" s="244"/>
      <c r="BZ18" s="241">
        <v>74996.877</v>
      </c>
      <c r="CA18" s="244">
        <v>0</v>
      </c>
      <c r="CB18" s="244">
        <f>+BZ18-CA18</f>
        <v>74996.877</v>
      </c>
      <c r="CC18" s="241">
        <v>63976.375</v>
      </c>
      <c r="CD18" s="241">
        <v>13434.936</v>
      </c>
      <c r="CE18" s="244"/>
      <c r="CF18" s="241">
        <v>103017.043</v>
      </c>
      <c r="CG18" s="241">
        <v>37898.083</v>
      </c>
      <c r="CH18" s="241">
        <f>41689.704+1529.21</f>
        <v>43218.914</v>
      </c>
      <c r="CI18" s="241">
        <v>33476.661</v>
      </c>
      <c r="CJ18" s="241">
        <v>23188.549</v>
      </c>
      <c r="CK18" s="241">
        <v>35203.925</v>
      </c>
      <c r="CL18" s="241">
        <f>33545.639+6.965</f>
        <v>33552.604</v>
      </c>
      <c r="CM18" s="241">
        <v>22800.509</v>
      </c>
      <c r="CN18" s="241">
        <v>18239.54</v>
      </c>
      <c r="CO18" s="241">
        <v>116567.437</v>
      </c>
      <c r="CP18" s="241">
        <v>0</v>
      </c>
      <c r="CQ18" s="244"/>
      <c r="CR18" s="241">
        <v>40899.864</v>
      </c>
      <c r="CS18" s="241">
        <v>1414.696</v>
      </c>
      <c r="CT18" s="241"/>
      <c r="CV18" s="93">
        <f t="shared" si="1"/>
        <v>18893867.264999997</v>
      </c>
      <c r="CW18" s="93"/>
      <c r="CX18" s="93">
        <f t="shared" si="2"/>
        <v>8201780.367999999</v>
      </c>
      <c r="CY18" s="93">
        <f t="shared" si="3"/>
        <v>10692086.897000004</v>
      </c>
      <c r="CZ18" s="241"/>
      <c r="DA18" s="210">
        <f t="shared" si="4"/>
        <v>0</v>
      </c>
    </row>
    <row r="19" spans="1:105" ht="12.75">
      <c r="A19" s="319" t="s">
        <v>493</v>
      </c>
      <c r="B19" s="241">
        <v>80216.808</v>
      </c>
      <c r="C19" s="244"/>
      <c r="D19" s="241">
        <v>43262</v>
      </c>
      <c r="E19" s="244">
        <v>29140</v>
      </c>
      <c r="F19" s="244">
        <v>13864</v>
      </c>
      <c r="G19" s="244">
        <v>66</v>
      </c>
      <c r="H19" s="244">
        <v>0</v>
      </c>
      <c r="I19" s="244">
        <v>191</v>
      </c>
      <c r="J19" s="241">
        <v>41943.369</v>
      </c>
      <c r="K19" s="244"/>
      <c r="L19" s="241">
        <v>112643.751</v>
      </c>
      <c r="M19" s="244">
        <v>112166.066</v>
      </c>
      <c r="N19" s="244">
        <v>285.104</v>
      </c>
      <c r="O19" s="244">
        <v>192.581</v>
      </c>
      <c r="P19" s="241">
        <v>18688.627</v>
      </c>
      <c r="Q19" s="244">
        <v>0</v>
      </c>
      <c r="R19" s="241">
        <v>17318.433</v>
      </c>
      <c r="S19" s="244"/>
      <c r="T19" s="241">
        <v>19644.109</v>
      </c>
      <c r="U19" s="244"/>
      <c r="V19" s="241">
        <v>4005.967</v>
      </c>
      <c r="W19" s="244"/>
      <c r="X19" s="244"/>
      <c r="Y19" s="241">
        <v>25829.416</v>
      </c>
      <c r="Z19" s="244"/>
      <c r="AA19" s="241">
        <v>21269.551</v>
      </c>
      <c r="AB19" s="244"/>
      <c r="AC19" s="241">
        <v>36071.595</v>
      </c>
      <c r="AD19" s="241">
        <v>11107.875</v>
      </c>
      <c r="AE19" s="244"/>
      <c r="AF19" s="241">
        <v>6010</v>
      </c>
      <c r="AG19" s="241">
        <v>-4973.232</v>
      </c>
      <c r="AH19" s="241">
        <v>197.727</v>
      </c>
      <c r="AI19" s="241">
        <v>20582.944</v>
      </c>
      <c r="AJ19" s="244">
        <v>0</v>
      </c>
      <c r="AK19" s="241">
        <v>10847.989</v>
      </c>
      <c r="AL19" s="244"/>
      <c r="AM19" s="241">
        <v>31139.512</v>
      </c>
      <c r="AN19" s="244"/>
      <c r="AO19" s="241">
        <v>2425.581</v>
      </c>
      <c r="AP19" s="244"/>
      <c r="AQ19" s="241">
        <v>5191.017</v>
      </c>
      <c r="AR19" s="241">
        <v>14139.059</v>
      </c>
      <c r="AS19" s="244"/>
      <c r="AT19" s="241">
        <v>4036.017</v>
      </c>
      <c r="AU19" s="244"/>
      <c r="AV19" s="241">
        <v>47820</v>
      </c>
      <c r="AW19" s="244"/>
      <c r="AX19" s="241">
        <v>0</v>
      </c>
      <c r="AY19" s="241">
        <v>851.023</v>
      </c>
      <c r="AZ19" s="244"/>
      <c r="BA19" s="241">
        <v>8613.549</v>
      </c>
      <c r="BB19" s="241">
        <v>19975.184</v>
      </c>
      <c r="BC19" s="244"/>
      <c r="BD19" s="241">
        <v>6526.521</v>
      </c>
      <c r="BE19" s="244"/>
      <c r="BF19" s="241">
        <v>26232.492</v>
      </c>
      <c r="BG19" s="244"/>
      <c r="BH19" s="241">
        <v>1558.625</v>
      </c>
      <c r="BI19" s="244"/>
      <c r="BJ19" s="241">
        <v>0</v>
      </c>
      <c r="BK19" s="241">
        <v>930.286</v>
      </c>
      <c r="BL19" s="244">
        <v>846.286</v>
      </c>
      <c r="BM19" s="244">
        <v>84</v>
      </c>
      <c r="BN19" s="241">
        <v>3233.568</v>
      </c>
      <c r="BO19" s="241">
        <v>1828.408</v>
      </c>
      <c r="BP19" s="241">
        <v>0</v>
      </c>
      <c r="BQ19" s="241">
        <v>4318.354</v>
      </c>
      <c r="BR19" s="241">
        <v>2158.194</v>
      </c>
      <c r="BS19" s="244">
        <v>1896.232</v>
      </c>
      <c r="BT19" s="244">
        <v>261.961</v>
      </c>
      <c r="BU19" s="244">
        <v>0</v>
      </c>
      <c r="BV19" s="241">
        <v>0</v>
      </c>
      <c r="BW19" s="241">
        <v>1293.523</v>
      </c>
      <c r="BX19" s="241">
        <v>4101.803</v>
      </c>
      <c r="BY19" s="244"/>
      <c r="BZ19" s="241">
        <v>1279.262</v>
      </c>
      <c r="CA19" s="244">
        <v>445.119</v>
      </c>
      <c r="CB19" s="244">
        <f>+BZ19-CA19</f>
        <v>834.1429999999999</v>
      </c>
      <c r="CC19" s="241">
        <v>645.928</v>
      </c>
      <c r="CD19" s="241">
        <v>4168.008</v>
      </c>
      <c r="CE19" s="244"/>
      <c r="CF19" s="241">
        <v>1048.395</v>
      </c>
      <c r="CG19" s="241">
        <v>1630.212</v>
      </c>
      <c r="CH19" s="241">
        <v>333.17</v>
      </c>
      <c r="CI19" s="241">
        <v>738.251</v>
      </c>
      <c r="CJ19" s="241">
        <v>55.573</v>
      </c>
      <c r="CK19" s="241">
        <v>0</v>
      </c>
      <c r="CL19" s="241">
        <v>0</v>
      </c>
      <c r="CM19" s="241">
        <v>0</v>
      </c>
      <c r="CN19" s="241">
        <v>641.394</v>
      </c>
      <c r="CO19" s="241">
        <v>1.883</v>
      </c>
      <c r="CP19" s="241">
        <v>405.855</v>
      </c>
      <c r="CQ19" s="244"/>
      <c r="CR19" s="241">
        <v>0</v>
      </c>
      <c r="CS19" s="241">
        <v>0</v>
      </c>
      <c r="CT19" s="241"/>
      <c r="CV19" s="93">
        <f t="shared" si="1"/>
        <v>661987.5760000001</v>
      </c>
      <c r="CW19" s="93"/>
      <c r="CX19" s="93">
        <f t="shared" si="2"/>
        <v>59795.021</v>
      </c>
      <c r="CY19" s="93">
        <f t="shared" si="3"/>
        <v>602192.555</v>
      </c>
      <c r="CZ19" s="241"/>
      <c r="DA19" s="210">
        <f t="shared" si="4"/>
        <v>0</v>
      </c>
    </row>
    <row r="20" spans="1:105" ht="12.75">
      <c r="A20" s="168" t="s">
        <v>494</v>
      </c>
      <c r="B20" s="241">
        <v>87217.812</v>
      </c>
      <c r="C20" s="244"/>
      <c r="D20" s="241">
        <v>74489</v>
      </c>
      <c r="E20" s="244">
        <v>60673</v>
      </c>
      <c r="F20" s="244">
        <v>11934</v>
      </c>
      <c r="G20" s="244">
        <v>1557</v>
      </c>
      <c r="H20" s="244">
        <v>326</v>
      </c>
      <c r="I20" s="244">
        <v>0</v>
      </c>
      <c r="J20" s="241">
        <v>83954.71</v>
      </c>
      <c r="K20" s="244"/>
      <c r="L20" s="241">
        <v>65612.996</v>
      </c>
      <c r="M20" s="244">
        <v>65334.029</v>
      </c>
      <c r="N20" s="244">
        <v>190.069</v>
      </c>
      <c r="O20" s="244">
        <v>88.898</v>
      </c>
      <c r="P20" s="241">
        <v>49546.642</v>
      </c>
      <c r="Q20" s="244">
        <v>0</v>
      </c>
      <c r="R20" s="241">
        <v>33967.757</v>
      </c>
      <c r="S20" s="244"/>
      <c r="T20" s="241">
        <v>19645.077</v>
      </c>
      <c r="U20" s="244"/>
      <c r="V20" s="241">
        <v>19105.762</v>
      </c>
      <c r="W20" s="244"/>
      <c r="X20" s="244"/>
      <c r="Y20" s="241">
        <v>25028.839</v>
      </c>
      <c r="Z20" s="244"/>
      <c r="AA20" s="241">
        <v>29066.387</v>
      </c>
      <c r="AB20" s="244"/>
      <c r="AC20" s="241">
        <v>41250.119</v>
      </c>
      <c r="AD20" s="241">
        <v>26236.707</v>
      </c>
      <c r="AE20" s="244"/>
      <c r="AF20" s="241">
        <v>14915</v>
      </c>
      <c r="AG20" s="241">
        <v>21180.535</v>
      </c>
      <c r="AH20" s="241">
        <v>42001.186</v>
      </c>
      <c r="AI20" s="241">
        <v>23513.187</v>
      </c>
      <c r="AJ20" s="244">
        <v>990.58</v>
      </c>
      <c r="AK20" s="241">
        <v>16565.586</v>
      </c>
      <c r="AL20" s="244"/>
      <c r="AM20" s="241">
        <v>12041.232</v>
      </c>
      <c r="AN20" s="244"/>
      <c r="AO20" s="241">
        <v>5390.633</v>
      </c>
      <c r="AP20" s="244"/>
      <c r="AQ20" s="241">
        <v>7078.683</v>
      </c>
      <c r="AR20" s="241">
        <v>11353.307</v>
      </c>
      <c r="AS20" s="244"/>
      <c r="AT20" s="241">
        <v>5144.145</v>
      </c>
      <c r="AU20" s="244"/>
      <c r="AV20" s="241">
        <v>867</v>
      </c>
      <c r="AW20" s="244"/>
      <c r="AX20" s="241">
        <v>1933.365</v>
      </c>
      <c r="AY20" s="241">
        <v>5401.717</v>
      </c>
      <c r="AZ20" s="244"/>
      <c r="BA20" s="241">
        <v>10230.271</v>
      </c>
      <c r="BB20" s="241">
        <v>1533.331</v>
      </c>
      <c r="BC20" s="244"/>
      <c r="BD20" s="241">
        <v>6742.998</v>
      </c>
      <c r="BE20" s="244"/>
      <c r="BF20" s="241">
        <v>6532.283</v>
      </c>
      <c r="BG20" s="244"/>
      <c r="BH20" s="241">
        <v>1904.986</v>
      </c>
      <c r="BI20" s="244"/>
      <c r="BJ20" s="241">
        <v>26335.059</v>
      </c>
      <c r="BK20" s="241">
        <v>4621.411</v>
      </c>
      <c r="BL20" s="244">
        <v>4114.954</v>
      </c>
      <c r="BM20" s="244">
        <v>506.457</v>
      </c>
      <c r="BN20" s="241">
        <v>2189.538</v>
      </c>
      <c r="BO20" s="241">
        <v>1110.93</v>
      </c>
      <c r="BP20" s="241">
        <v>4930.779</v>
      </c>
      <c r="BQ20" s="241">
        <v>2952.806</v>
      </c>
      <c r="BR20" s="241">
        <v>20536.768</v>
      </c>
      <c r="BS20" s="244">
        <v>18044.015</v>
      </c>
      <c r="BT20" s="244">
        <v>2492.751</v>
      </c>
      <c r="BU20" s="244">
        <v>0</v>
      </c>
      <c r="BV20" s="241">
        <v>2175.63</v>
      </c>
      <c r="BW20" s="241">
        <v>3830.514</v>
      </c>
      <c r="BX20" s="241">
        <v>4421.503</v>
      </c>
      <c r="BY20" s="244"/>
      <c r="BZ20" s="241">
        <v>10166.406</v>
      </c>
      <c r="CA20" s="244">
        <v>6853.159</v>
      </c>
      <c r="CB20" s="244">
        <f>+BZ20-CA20</f>
        <v>3313.247000000001</v>
      </c>
      <c r="CC20" s="241">
        <v>2495.286</v>
      </c>
      <c r="CD20" s="241">
        <v>1263.87</v>
      </c>
      <c r="CE20" s="244"/>
      <c r="CF20" s="241">
        <v>3474.065</v>
      </c>
      <c r="CG20" s="241">
        <v>1168.15</v>
      </c>
      <c r="CH20" s="241">
        <v>1496.69</v>
      </c>
      <c r="CI20" s="241">
        <v>625.19</v>
      </c>
      <c r="CJ20" s="241">
        <v>2143.608</v>
      </c>
      <c r="CK20" s="241">
        <v>1172.958</v>
      </c>
      <c r="CL20" s="241">
        <f>404.922+8.606</f>
        <v>413.528</v>
      </c>
      <c r="CM20" s="241">
        <v>1893.842</v>
      </c>
      <c r="CN20" s="241">
        <v>641.395</v>
      </c>
      <c r="CO20" s="241">
        <v>2267.317</v>
      </c>
      <c r="CP20" s="241">
        <v>811.712</v>
      </c>
      <c r="CQ20" s="244"/>
      <c r="CR20" s="241">
        <v>690.554</v>
      </c>
      <c r="CS20" s="241">
        <v>0</v>
      </c>
      <c r="CT20" s="241"/>
      <c r="CV20" s="93">
        <f t="shared" si="1"/>
        <v>853280.7619999999</v>
      </c>
      <c r="CW20" s="93"/>
      <c r="CX20" s="93">
        <f t="shared" si="2"/>
        <v>156904.899</v>
      </c>
      <c r="CY20" s="93">
        <f t="shared" si="3"/>
        <v>696375.8629999999</v>
      </c>
      <c r="CZ20" s="241"/>
      <c r="DA20" s="210">
        <f t="shared" si="4"/>
        <v>0</v>
      </c>
    </row>
    <row r="21" spans="1:105" ht="12.75">
      <c r="A21" s="319" t="s">
        <v>495</v>
      </c>
      <c r="B21" s="241">
        <v>0</v>
      </c>
      <c r="C21" s="244"/>
      <c r="D21" s="241">
        <v>0</v>
      </c>
      <c r="E21" s="244">
        <v>0</v>
      </c>
      <c r="F21" s="244">
        <v>0</v>
      </c>
      <c r="G21" s="244">
        <v>0</v>
      </c>
      <c r="H21" s="244">
        <v>0</v>
      </c>
      <c r="I21" s="244">
        <v>0</v>
      </c>
      <c r="J21" s="241">
        <v>0</v>
      </c>
      <c r="K21" s="244"/>
      <c r="L21" s="241">
        <v>0</v>
      </c>
      <c r="M21" s="244">
        <v>0</v>
      </c>
      <c r="N21" s="244">
        <v>0</v>
      </c>
      <c r="O21" s="244">
        <v>0</v>
      </c>
      <c r="P21" s="241">
        <v>0</v>
      </c>
      <c r="Q21" s="244">
        <v>0</v>
      </c>
      <c r="R21" s="241">
        <v>0</v>
      </c>
      <c r="S21" s="244"/>
      <c r="T21" s="241">
        <v>0</v>
      </c>
      <c r="U21" s="244"/>
      <c r="V21" s="241">
        <v>0</v>
      </c>
      <c r="W21" s="244"/>
      <c r="X21" s="244"/>
      <c r="Y21" s="241">
        <v>0</v>
      </c>
      <c r="Z21" s="244"/>
      <c r="AA21" s="241">
        <v>0</v>
      </c>
      <c r="AB21" s="244"/>
      <c r="AC21" s="241">
        <v>0</v>
      </c>
      <c r="AD21" s="241">
        <v>0</v>
      </c>
      <c r="AE21" s="244"/>
      <c r="AF21" s="241">
        <v>0</v>
      </c>
      <c r="AG21" s="241">
        <v>0</v>
      </c>
      <c r="AH21" s="241">
        <v>0</v>
      </c>
      <c r="AI21" s="241">
        <v>0</v>
      </c>
      <c r="AJ21" s="244">
        <v>0</v>
      </c>
      <c r="AK21" s="241">
        <v>0</v>
      </c>
      <c r="AL21" s="244"/>
      <c r="AM21" s="241">
        <v>0</v>
      </c>
      <c r="AN21" s="244"/>
      <c r="AO21" s="241">
        <v>0</v>
      </c>
      <c r="AP21" s="244"/>
      <c r="AQ21" s="241">
        <v>0</v>
      </c>
      <c r="AR21" s="241">
        <v>0</v>
      </c>
      <c r="AS21" s="244"/>
      <c r="AT21" s="241">
        <v>0</v>
      </c>
      <c r="AU21" s="244"/>
      <c r="AV21" s="241">
        <v>0</v>
      </c>
      <c r="AW21" s="244"/>
      <c r="AX21" s="241">
        <v>0</v>
      </c>
      <c r="AY21" s="241">
        <v>0</v>
      </c>
      <c r="AZ21" s="244"/>
      <c r="BA21" s="241">
        <v>0</v>
      </c>
      <c r="BB21" s="241">
        <v>0</v>
      </c>
      <c r="BC21" s="244"/>
      <c r="BD21" s="241">
        <v>0</v>
      </c>
      <c r="BE21" s="244"/>
      <c r="BF21" s="241">
        <v>0</v>
      </c>
      <c r="BG21" s="244"/>
      <c r="BH21" s="241">
        <v>0</v>
      </c>
      <c r="BI21" s="244"/>
      <c r="BJ21" s="241">
        <v>0</v>
      </c>
      <c r="BK21" s="241">
        <v>0</v>
      </c>
      <c r="BL21" s="244"/>
      <c r="BM21" s="244"/>
      <c r="BN21" s="241">
        <v>0</v>
      </c>
      <c r="BO21" s="241">
        <v>0</v>
      </c>
      <c r="BP21" s="241">
        <v>0</v>
      </c>
      <c r="BQ21" s="241">
        <v>0</v>
      </c>
      <c r="BR21" s="241">
        <v>0</v>
      </c>
      <c r="BS21" s="244">
        <v>0</v>
      </c>
      <c r="BT21" s="244">
        <v>0</v>
      </c>
      <c r="BU21" s="244">
        <v>0</v>
      </c>
      <c r="BV21" s="241">
        <v>0</v>
      </c>
      <c r="BW21" s="241">
        <v>0</v>
      </c>
      <c r="BX21" s="241">
        <v>0</v>
      </c>
      <c r="BY21" s="244"/>
      <c r="BZ21" s="241">
        <v>0</v>
      </c>
      <c r="CA21" s="244">
        <v>0</v>
      </c>
      <c r="CB21" s="244">
        <f>+BZ21-CA21</f>
        <v>0</v>
      </c>
      <c r="CC21" s="241">
        <v>0</v>
      </c>
      <c r="CD21" s="241">
        <v>0</v>
      </c>
      <c r="CE21" s="244"/>
      <c r="CF21" s="241">
        <v>0</v>
      </c>
      <c r="CG21" s="241">
        <v>0</v>
      </c>
      <c r="CH21" s="241"/>
      <c r="CI21" s="241">
        <v>0</v>
      </c>
      <c r="CJ21" s="241">
        <v>0</v>
      </c>
      <c r="CK21" s="241">
        <v>0</v>
      </c>
      <c r="CL21" s="241">
        <v>0</v>
      </c>
      <c r="CM21" s="241">
        <v>0</v>
      </c>
      <c r="CN21" s="241">
        <v>0</v>
      </c>
      <c r="CO21" s="241">
        <v>0</v>
      </c>
      <c r="CP21" s="241">
        <v>0</v>
      </c>
      <c r="CQ21" s="244"/>
      <c r="CR21" s="241">
        <v>0</v>
      </c>
      <c r="CS21" s="241">
        <v>0</v>
      </c>
      <c r="CT21" s="241"/>
      <c r="CV21" s="93">
        <f t="shared" si="1"/>
        <v>0</v>
      </c>
      <c r="CW21" s="93"/>
      <c r="CX21" s="93">
        <f t="shared" si="2"/>
        <v>0</v>
      </c>
      <c r="CY21" s="93">
        <f t="shared" si="3"/>
        <v>0</v>
      </c>
      <c r="CZ21" s="241"/>
      <c r="DA21" s="210">
        <f t="shared" si="4"/>
        <v>0</v>
      </c>
    </row>
    <row r="22" spans="1:105" ht="12.75">
      <c r="A22" s="319" t="s">
        <v>496</v>
      </c>
      <c r="B22" s="241">
        <v>951627.468</v>
      </c>
      <c r="C22" s="244"/>
      <c r="D22" s="241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1">
        <v>1958285.901</v>
      </c>
      <c r="K22" s="244"/>
      <c r="L22" s="241">
        <v>1690.876</v>
      </c>
      <c r="M22" s="244">
        <v>1690.876</v>
      </c>
      <c r="N22" s="244">
        <v>94753.475</v>
      </c>
      <c r="O22" s="244">
        <v>15556.397</v>
      </c>
      <c r="P22" s="241">
        <f>5883.741</f>
        <v>5883.741</v>
      </c>
      <c r="Q22" s="244">
        <v>0</v>
      </c>
      <c r="R22" s="241">
        <v>0</v>
      </c>
      <c r="S22" s="244"/>
      <c r="T22" s="241">
        <v>0</v>
      </c>
      <c r="U22" s="244"/>
      <c r="V22" s="241">
        <v>31223.603</v>
      </c>
      <c r="W22" s="244"/>
      <c r="X22" s="244"/>
      <c r="Y22" s="241">
        <f>17869.268+40671.847</f>
        <v>58541.115000000005</v>
      </c>
      <c r="Z22" s="244"/>
      <c r="AA22" s="241">
        <v>0</v>
      </c>
      <c r="AB22" s="244"/>
      <c r="AC22" s="241">
        <v>6508.182</v>
      </c>
      <c r="AD22" s="241">
        <v>53.73</v>
      </c>
      <c r="AE22" s="244"/>
      <c r="AF22" s="241">
        <v>8455</v>
      </c>
      <c r="AG22" s="241">
        <v>0</v>
      </c>
      <c r="AH22" s="241"/>
      <c r="AI22" s="241">
        <v>1940.132</v>
      </c>
      <c r="AJ22" s="244">
        <v>4122.028</v>
      </c>
      <c r="AK22" s="241">
        <v>0</v>
      </c>
      <c r="AL22" s="244"/>
      <c r="AM22" s="241">
        <v>0</v>
      </c>
      <c r="AN22" s="244"/>
      <c r="AO22" s="241">
        <v>1315.38</v>
      </c>
      <c r="AP22" s="244"/>
      <c r="AQ22" s="241">
        <v>0</v>
      </c>
      <c r="AR22" s="241">
        <v>0</v>
      </c>
      <c r="AS22" s="244"/>
      <c r="AT22" s="241">
        <v>0</v>
      </c>
      <c r="AU22" s="244"/>
      <c r="AV22" s="241">
        <v>2106</v>
      </c>
      <c r="AW22" s="244"/>
      <c r="AX22" s="241">
        <v>54083.302</v>
      </c>
      <c r="AY22" s="241">
        <v>410.584</v>
      </c>
      <c r="AZ22" s="244"/>
      <c r="BA22" s="241">
        <v>883.509</v>
      </c>
      <c r="BB22" s="241">
        <v>131822.445</v>
      </c>
      <c r="BC22" s="244"/>
      <c r="BD22" s="241">
        <v>0</v>
      </c>
      <c r="BE22" s="244"/>
      <c r="BF22" s="241">
        <v>0</v>
      </c>
      <c r="BG22" s="244"/>
      <c r="BH22" s="241">
        <v>246.58</v>
      </c>
      <c r="BI22" s="244"/>
      <c r="BJ22" s="241">
        <v>0</v>
      </c>
      <c r="BK22" s="241">
        <v>2152.684</v>
      </c>
      <c r="BL22" s="244">
        <v>0</v>
      </c>
      <c r="BM22" s="244">
        <v>2180.642</v>
      </c>
      <c r="BN22" s="241">
        <v>174116.605</v>
      </c>
      <c r="BO22" s="241">
        <v>0</v>
      </c>
      <c r="BP22" s="241">
        <v>100.365</v>
      </c>
      <c r="BQ22" s="241">
        <v>2185.338</v>
      </c>
      <c r="BR22" s="241">
        <v>0</v>
      </c>
      <c r="BS22" s="244">
        <v>0</v>
      </c>
      <c r="BT22" s="244">
        <v>0</v>
      </c>
      <c r="BU22" s="244">
        <v>0</v>
      </c>
      <c r="BV22" s="241">
        <v>0</v>
      </c>
      <c r="BW22" s="241">
        <v>3957.568</v>
      </c>
      <c r="BX22" s="241">
        <v>0</v>
      </c>
      <c r="BY22" s="244"/>
      <c r="BZ22" s="241">
        <v>0</v>
      </c>
      <c r="CA22" s="244">
        <v>0</v>
      </c>
      <c r="CB22" s="244">
        <f>+BZ22-CA22</f>
        <v>0</v>
      </c>
      <c r="CC22" s="241">
        <v>0</v>
      </c>
      <c r="CD22" s="241">
        <v>11866.328</v>
      </c>
      <c r="CE22" s="244"/>
      <c r="CF22" s="241">
        <v>0</v>
      </c>
      <c r="CG22" s="241">
        <v>0</v>
      </c>
      <c r="CH22" s="241">
        <f>136.785+3.027</f>
        <v>139.81199999999998</v>
      </c>
      <c r="CI22" s="241">
        <v>-7140.502</v>
      </c>
      <c r="CJ22" s="241">
        <v>0</v>
      </c>
      <c r="CK22" s="241">
        <v>0</v>
      </c>
      <c r="CL22" s="241">
        <v>0</v>
      </c>
      <c r="CM22" s="241">
        <v>0</v>
      </c>
      <c r="CN22" s="241">
        <v>4457.205</v>
      </c>
      <c r="CO22" s="241">
        <f>0.399+95.672</f>
        <v>96.071</v>
      </c>
      <c r="CP22" s="241">
        <v>30807.197</v>
      </c>
      <c r="CQ22" s="244"/>
      <c r="CR22" s="241">
        <v>0</v>
      </c>
      <c r="CS22" s="241">
        <v>283.949</v>
      </c>
      <c r="CT22" s="241"/>
      <c r="CV22" s="93">
        <f t="shared" si="1"/>
        <v>3438100.168000001</v>
      </c>
      <c r="CW22" s="93"/>
      <c r="CX22" s="93">
        <f t="shared" si="2"/>
        <v>182627.449</v>
      </c>
      <c r="CY22" s="93">
        <f t="shared" si="3"/>
        <v>3255472.719000001</v>
      </c>
      <c r="CZ22" s="241"/>
      <c r="DA22" s="210">
        <f t="shared" si="4"/>
        <v>0</v>
      </c>
    </row>
    <row r="23" spans="1:105" ht="13.5">
      <c r="A23" s="321" t="s">
        <v>491</v>
      </c>
      <c r="B23" s="93">
        <f aca="true" t="shared" si="8" ref="B23:I23">SUM(B18:B22)</f>
        <v>2678988.412</v>
      </c>
      <c r="C23" s="219"/>
      <c r="D23" s="93">
        <f t="shared" si="8"/>
        <v>6424596</v>
      </c>
      <c r="E23" s="219">
        <f>SUM(E18:E22)+1</f>
        <v>6177942</v>
      </c>
      <c r="F23" s="219">
        <f>SUM(F18:F22)-1</f>
        <v>37161</v>
      </c>
      <c r="G23" s="219">
        <f t="shared" si="8"/>
        <v>181932</v>
      </c>
      <c r="H23" s="219">
        <f t="shared" si="8"/>
        <v>26763</v>
      </c>
      <c r="I23" s="219">
        <f t="shared" si="8"/>
        <v>798</v>
      </c>
      <c r="J23" s="93">
        <f aca="true" t="shared" si="9" ref="J23:V23">SUM(J18:J22)</f>
        <v>3570428.2309999997</v>
      </c>
      <c r="K23" s="219"/>
      <c r="L23" s="93">
        <f t="shared" si="9"/>
        <v>1211228.3159999999</v>
      </c>
      <c r="M23" s="219">
        <f t="shared" si="9"/>
        <v>1208835.712</v>
      </c>
      <c r="N23" s="219">
        <f t="shared" si="9"/>
        <v>95228.648</v>
      </c>
      <c r="O23" s="219">
        <f t="shared" si="9"/>
        <v>17473.828</v>
      </c>
      <c r="P23" s="219">
        <f t="shared" si="9"/>
        <v>943519.311</v>
      </c>
      <c r="Q23" s="219">
        <f t="shared" si="9"/>
        <v>0</v>
      </c>
      <c r="R23" s="93">
        <f t="shared" si="9"/>
        <v>543336.3940000001</v>
      </c>
      <c r="S23" s="219"/>
      <c r="T23" s="93">
        <f t="shared" si="9"/>
        <v>210018.52599999998</v>
      </c>
      <c r="U23" s="219"/>
      <c r="V23" s="93">
        <f t="shared" si="9"/>
        <v>503335.968</v>
      </c>
      <c r="W23" s="219"/>
      <c r="X23" s="219"/>
      <c r="Y23" s="93">
        <f aca="true" t="shared" si="10" ref="Y23:BV23">SUM(Y18:Y22)</f>
        <v>259105.66000000003</v>
      </c>
      <c r="Z23" s="219"/>
      <c r="AA23" s="93">
        <f t="shared" si="10"/>
        <v>684369.2779999999</v>
      </c>
      <c r="AB23" s="219"/>
      <c r="AC23" s="93">
        <f t="shared" si="10"/>
        <v>353806.4469999999</v>
      </c>
      <c r="AD23" s="93">
        <f t="shared" si="10"/>
        <v>286710.442</v>
      </c>
      <c r="AE23" s="219">
        <v>16</v>
      </c>
      <c r="AF23" s="93">
        <f t="shared" si="10"/>
        <v>191755</v>
      </c>
      <c r="AG23" s="93">
        <f t="shared" si="10"/>
        <v>561763.1460000001</v>
      </c>
      <c r="AH23" s="93">
        <f t="shared" si="10"/>
        <v>399513.559</v>
      </c>
      <c r="AI23" s="93">
        <f t="shared" si="10"/>
        <v>200098.211</v>
      </c>
      <c r="AJ23" s="219">
        <f t="shared" si="10"/>
        <v>5112.608</v>
      </c>
      <c r="AK23" s="93">
        <f t="shared" si="10"/>
        <v>245232.239</v>
      </c>
      <c r="AL23" s="219"/>
      <c r="AM23" s="93">
        <f t="shared" si="10"/>
        <v>131173.74599999998</v>
      </c>
      <c r="AN23" s="219"/>
      <c r="AO23" s="93">
        <f t="shared" si="10"/>
        <v>78475.15400000001</v>
      </c>
      <c r="AP23" s="219"/>
      <c r="AQ23" s="93">
        <f t="shared" si="10"/>
        <v>438632.175</v>
      </c>
      <c r="AR23" s="93">
        <f t="shared" si="10"/>
        <v>247755.63100000002</v>
      </c>
      <c r="AS23" s="219"/>
      <c r="AT23" s="93">
        <f t="shared" si="10"/>
        <v>211989.46399999998</v>
      </c>
      <c r="AU23" s="219"/>
      <c r="AV23" s="93">
        <f t="shared" si="10"/>
        <v>130902</v>
      </c>
      <c r="AW23" s="219"/>
      <c r="AX23" s="93">
        <f t="shared" si="10"/>
        <v>233806.92799999999</v>
      </c>
      <c r="AY23" s="93">
        <f t="shared" si="10"/>
        <v>38994.388999999996</v>
      </c>
      <c r="AZ23" s="219"/>
      <c r="BA23" s="93">
        <f t="shared" si="10"/>
        <v>136029.56399999998</v>
      </c>
      <c r="BB23" s="93">
        <f t="shared" si="10"/>
        <v>213088.515</v>
      </c>
      <c r="BC23" s="219"/>
      <c r="BD23" s="93">
        <f t="shared" si="10"/>
        <v>137458.949</v>
      </c>
      <c r="BE23" s="219"/>
      <c r="BF23" s="93">
        <f t="shared" si="10"/>
        <v>97408.701</v>
      </c>
      <c r="BG23" s="219"/>
      <c r="BH23" s="93">
        <f t="shared" si="10"/>
        <v>121766.08</v>
      </c>
      <c r="BI23" s="219"/>
      <c r="BJ23" s="93">
        <f t="shared" si="10"/>
        <v>951068.355</v>
      </c>
      <c r="BK23" s="93">
        <f t="shared" si="10"/>
        <v>138954.883</v>
      </c>
      <c r="BL23" s="219">
        <f>SUM(BL18:BL22)</f>
        <v>108375.67599999999</v>
      </c>
      <c r="BM23" s="219">
        <f>SUM(BM18:BM22)</f>
        <v>30684.067</v>
      </c>
      <c r="BN23" s="93">
        <f t="shared" si="10"/>
        <v>231964.06</v>
      </c>
      <c r="BO23" s="93">
        <f t="shared" si="10"/>
        <v>78720.54899999998</v>
      </c>
      <c r="BP23" s="93">
        <f t="shared" si="10"/>
        <v>39605.45</v>
      </c>
      <c r="BQ23" s="93">
        <f t="shared" si="10"/>
        <v>45799.606999999996</v>
      </c>
      <c r="BR23" s="93">
        <f t="shared" si="10"/>
        <v>23049.921</v>
      </c>
      <c r="BS23" s="219">
        <f t="shared" si="10"/>
        <v>20295.206</v>
      </c>
      <c r="BT23" s="219">
        <f t="shared" si="10"/>
        <v>2754.7120000000004</v>
      </c>
      <c r="BU23" s="219">
        <f t="shared" si="10"/>
        <v>0</v>
      </c>
      <c r="BV23" s="93">
        <f t="shared" si="10"/>
        <v>28429.899</v>
      </c>
      <c r="BW23" s="93">
        <f aca="true" t="shared" si="11" ref="BW23:CS23">SUM(BW18:BW22)</f>
        <v>62533.992000000006</v>
      </c>
      <c r="BX23" s="93">
        <f t="shared" si="11"/>
        <v>17754.043999999998</v>
      </c>
      <c r="BY23" s="219"/>
      <c r="BZ23" s="93">
        <f t="shared" si="11"/>
        <v>86442.545</v>
      </c>
      <c r="CA23" s="219">
        <f t="shared" si="11"/>
        <v>7298.277999999999</v>
      </c>
      <c r="CB23" s="219">
        <f t="shared" si="11"/>
        <v>79144.26699999999</v>
      </c>
      <c r="CC23" s="93">
        <f t="shared" si="11"/>
        <v>67117.589</v>
      </c>
      <c r="CD23" s="93">
        <f t="shared" si="11"/>
        <v>30733.142</v>
      </c>
      <c r="CE23" s="219"/>
      <c r="CF23" s="93">
        <f t="shared" si="11"/>
        <v>107539.50300000001</v>
      </c>
      <c r="CG23" s="93">
        <f t="shared" si="11"/>
        <v>40696.445</v>
      </c>
      <c r="CH23" s="93">
        <f t="shared" si="11"/>
        <v>45188.585999999996</v>
      </c>
      <c r="CI23" s="93">
        <f t="shared" si="11"/>
        <v>27699.6</v>
      </c>
      <c r="CJ23" s="93">
        <f t="shared" si="11"/>
        <v>25387.73</v>
      </c>
      <c r="CK23" s="93">
        <f t="shared" si="11"/>
        <v>36376.883</v>
      </c>
      <c r="CL23" s="93">
        <f t="shared" si="11"/>
        <v>33966.132</v>
      </c>
      <c r="CM23" s="93">
        <f t="shared" si="11"/>
        <v>24694.351</v>
      </c>
      <c r="CN23" s="93">
        <f t="shared" si="11"/>
        <v>23979.534</v>
      </c>
      <c r="CO23" s="93">
        <f t="shared" si="11"/>
        <v>118932.708</v>
      </c>
      <c r="CP23" s="93">
        <f t="shared" si="11"/>
        <v>32024.764</v>
      </c>
      <c r="CQ23" s="219"/>
      <c r="CR23" s="93">
        <f t="shared" si="11"/>
        <v>41590.418</v>
      </c>
      <c r="CS23" s="93">
        <f t="shared" si="11"/>
        <v>1698.645</v>
      </c>
      <c r="CT23" s="93"/>
      <c r="CV23" s="93">
        <f t="shared" si="1"/>
        <v>23847235.77100001</v>
      </c>
      <c r="CW23" s="93"/>
      <c r="CX23" s="93">
        <f t="shared" si="2"/>
        <v>8601107.736999998</v>
      </c>
      <c r="CY23" s="93">
        <f t="shared" si="3"/>
        <v>15246128.033999994</v>
      </c>
      <c r="CZ23" s="93"/>
      <c r="DA23" s="93">
        <f t="shared" si="4"/>
        <v>1.6763806343078613E-08</v>
      </c>
    </row>
    <row r="24" spans="1:105" ht="8.25" customHeight="1">
      <c r="A24" s="322"/>
      <c r="CV24" s="93"/>
      <c r="CW24" s="93"/>
      <c r="CX24" s="93"/>
      <c r="CY24" s="93"/>
      <c r="DA24" s="210">
        <f t="shared" si="4"/>
        <v>0</v>
      </c>
    </row>
    <row r="25" spans="1:105" ht="12.75">
      <c r="A25" s="205" t="s">
        <v>497</v>
      </c>
      <c r="CV25" s="93"/>
      <c r="CW25" s="93"/>
      <c r="CX25" s="93"/>
      <c r="CY25" s="93"/>
      <c r="DA25" s="210">
        <f t="shared" si="4"/>
        <v>0</v>
      </c>
    </row>
    <row r="26" spans="1:105" ht="12.75">
      <c r="A26" s="318" t="s">
        <v>498</v>
      </c>
      <c r="B26" s="93">
        <f>B15-B23</f>
        <v>15584665.685999997</v>
      </c>
      <c r="C26" s="219"/>
      <c r="D26" s="93">
        <f>D15-D23</f>
        <v>17239853</v>
      </c>
      <c r="E26" s="219">
        <f>E15-E23</f>
        <v>11989270</v>
      </c>
      <c r="F26" s="219">
        <f>F15-F23</f>
        <v>4869912</v>
      </c>
      <c r="G26" s="219">
        <f>G15-G23</f>
        <v>35917</v>
      </c>
      <c r="H26" s="219">
        <f>H15-H23+1</f>
        <v>6258</v>
      </c>
      <c r="I26" s="219">
        <f>I15-I23</f>
        <v>497744</v>
      </c>
      <c r="J26" s="93">
        <f aca="true" t="shared" si="12" ref="J26:V26">J15-J23</f>
        <v>10505186.771000002</v>
      </c>
      <c r="K26" s="219"/>
      <c r="L26" s="93">
        <f t="shared" si="12"/>
        <v>16411636.399999999</v>
      </c>
      <c r="M26" s="219">
        <f t="shared" si="12"/>
        <v>16411772.955000004</v>
      </c>
      <c r="N26" s="219">
        <f t="shared" si="12"/>
        <v>0</v>
      </c>
      <c r="O26" s="219">
        <f t="shared" si="12"/>
        <v>-136.5550000000003</v>
      </c>
      <c r="P26" s="93">
        <f t="shared" si="12"/>
        <v>8629189.439</v>
      </c>
      <c r="Q26" s="219">
        <f t="shared" si="12"/>
        <v>3012.918</v>
      </c>
      <c r="R26" s="93">
        <f t="shared" si="12"/>
        <v>4254884.327999999</v>
      </c>
      <c r="S26" s="219"/>
      <c r="T26" s="93">
        <f t="shared" si="12"/>
        <v>3160082.697</v>
      </c>
      <c r="U26" s="219"/>
      <c r="V26" s="93">
        <f t="shared" si="12"/>
        <v>3917737.0289999996</v>
      </c>
      <c r="W26" s="219"/>
      <c r="X26" s="219"/>
      <c r="Y26" s="93">
        <f aca="true" t="shared" si="13" ref="Y26:BV26">Y15-Y23</f>
        <v>3853788.9899999998</v>
      </c>
      <c r="Z26" s="219"/>
      <c r="AA26" s="93">
        <f t="shared" si="13"/>
        <v>2921175.0459999996</v>
      </c>
      <c r="AB26" s="219"/>
      <c r="AC26" s="93">
        <f t="shared" si="13"/>
        <v>5841400.5030000005</v>
      </c>
      <c r="AD26" s="93">
        <f t="shared" si="13"/>
        <v>2429931.023</v>
      </c>
      <c r="AE26" s="219">
        <v>2578</v>
      </c>
      <c r="AF26" s="93">
        <f t="shared" si="13"/>
        <v>1747986</v>
      </c>
      <c r="AG26" s="93">
        <f t="shared" si="13"/>
        <v>2763528.8060000003</v>
      </c>
      <c r="AH26" s="93">
        <f t="shared" si="13"/>
        <v>7141619.092999999</v>
      </c>
      <c r="AI26" s="93">
        <f t="shared" si="13"/>
        <v>1435746.685</v>
      </c>
      <c r="AJ26" s="219">
        <f t="shared" si="13"/>
        <v>50986.842</v>
      </c>
      <c r="AK26" s="93">
        <f t="shared" si="13"/>
        <v>1451069.15</v>
      </c>
      <c r="AL26" s="219"/>
      <c r="AM26" s="93">
        <f t="shared" si="13"/>
        <v>3324237.2950000004</v>
      </c>
      <c r="AN26" s="219"/>
      <c r="AO26" s="93">
        <f t="shared" si="13"/>
        <v>4067511.6010000003</v>
      </c>
      <c r="AP26" s="219"/>
      <c r="AQ26" s="93">
        <f t="shared" si="13"/>
        <v>1450411.0560000003</v>
      </c>
      <c r="AR26" s="93">
        <f t="shared" si="13"/>
        <v>1189300.7580000001</v>
      </c>
      <c r="AS26" s="219"/>
      <c r="AT26" s="93">
        <f t="shared" si="13"/>
        <v>1031687.138</v>
      </c>
      <c r="AU26" s="219"/>
      <c r="AV26" s="93">
        <f t="shared" si="13"/>
        <v>4359350</v>
      </c>
      <c r="AW26" s="219"/>
      <c r="AX26" s="93">
        <f t="shared" si="13"/>
        <v>1060956.5829999999</v>
      </c>
      <c r="AY26" s="93">
        <f t="shared" si="13"/>
        <v>1508870.808</v>
      </c>
      <c r="AZ26" s="219"/>
      <c r="BA26" s="93">
        <f t="shared" si="13"/>
        <v>2001661.6160000002</v>
      </c>
      <c r="BB26" s="93">
        <f t="shared" si="13"/>
        <v>3124444.4379999996</v>
      </c>
      <c r="BC26" s="219"/>
      <c r="BD26" s="93">
        <f t="shared" si="13"/>
        <v>445510.2949999999</v>
      </c>
      <c r="BE26" s="219"/>
      <c r="BF26" s="93">
        <f t="shared" si="13"/>
        <v>1987379.738</v>
      </c>
      <c r="BG26" s="219"/>
      <c r="BH26" s="93">
        <f t="shared" si="13"/>
        <v>548928.528</v>
      </c>
      <c r="BI26" s="219"/>
      <c r="BJ26" s="93">
        <f t="shared" si="13"/>
        <v>1620743.0359999998</v>
      </c>
      <c r="BK26" s="93">
        <f t="shared" si="13"/>
        <v>309079.17300000007</v>
      </c>
      <c r="BL26" s="219">
        <f t="shared" si="13"/>
        <v>229549.276</v>
      </c>
      <c r="BM26" s="219">
        <f t="shared" si="13"/>
        <v>79529.897</v>
      </c>
      <c r="BN26" s="93">
        <f t="shared" si="13"/>
        <v>448647.83</v>
      </c>
      <c r="BO26" s="93">
        <f t="shared" si="13"/>
        <v>705509.5539999999</v>
      </c>
      <c r="BP26" s="93">
        <f t="shared" si="13"/>
        <v>558804.5650000002</v>
      </c>
      <c r="BQ26" s="93">
        <f t="shared" si="13"/>
        <v>256416.48400000003</v>
      </c>
      <c r="BR26" s="93">
        <f t="shared" si="13"/>
        <v>1449242.278</v>
      </c>
      <c r="BS26" s="219">
        <f t="shared" si="13"/>
        <v>1252365.256</v>
      </c>
      <c r="BT26" s="219">
        <f t="shared" si="13"/>
        <v>172985.49399999998</v>
      </c>
      <c r="BU26" s="219">
        <f t="shared" si="13"/>
        <v>23891.531000000003</v>
      </c>
      <c r="BV26" s="93">
        <f t="shared" si="13"/>
        <v>435188.00200000004</v>
      </c>
      <c r="BW26" s="93">
        <f aca="true" t="shared" si="14" ref="BW26:CS26">BW15-BW23</f>
        <v>437093.385</v>
      </c>
      <c r="BX26" s="93">
        <f t="shared" si="14"/>
        <v>1232940.3490000002</v>
      </c>
      <c r="BY26" s="219"/>
      <c r="BZ26" s="93">
        <f t="shared" si="14"/>
        <v>224667.74000000005</v>
      </c>
      <c r="CA26" s="219">
        <f t="shared" si="14"/>
        <v>43519.068</v>
      </c>
      <c r="CB26" s="219">
        <f t="shared" si="14"/>
        <v>181148.67200000002</v>
      </c>
      <c r="CC26" s="93">
        <f t="shared" si="14"/>
        <v>183996.34899999996</v>
      </c>
      <c r="CD26" s="93">
        <f t="shared" si="14"/>
        <v>549196.604</v>
      </c>
      <c r="CE26" s="219"/>
      <c r="CF26" s="93">
        <f t="shared" si="14"/>
        <v>162429.93699999998</v>
      </c>
      <c r="CG26" s="93">
        <f t="shared" si="14"/>
        <v>242085.21499999997</v>
      </c>
      <c r="CH26" s="93">
        <f t="shared" si="14"/>
        <v>168356.109</v>
      </c>
      <c r="CI26" s="93">
        <f t="shared" si="14"/>
        <v>167349.129</v>
      </c>
      <c r="CJ26" s="93">
        <f t="shared" si="14"/>
        <v>122873.105</v>
      </c>
      <c r="CK26" s="93">
        <f t="shared" si="14"/>
        <v>135717.35</v>
      </c>
      <c r="CL26" s="93">
        <f t="shared" si="14"/>
        <v>36601.122</v>
      </c>
      <c r="CM26" s="93">
        <f t="shared" si="14"/>
        <v>54140.10900000001</v>
      </c>
      <c r="CN26" s="93">
        <f t="shared" si="14"/>
        <v>11893.243000000002</v>
      </c>
      <c r="CO26" s="93">
        <f t="shared" si="14"/>
        <v>-16933.531999999992</v>
      </c>
      <c r="CP26" s="93">
        <f t="shared" si="14"/>
        <v>6691.596000000001</v>
      </c>
      <c r="CQ26" s="219"/>
      <c r="CR26" s="93">
        <f t="shared" si="14"/>
        <v>2206.719999999994</v>
      </c>
      <c r="CS26" s="93">
        <f t="shared" si="14"/>
        <v>299.02199999999993</v>
      </c>
      <c r="CT26" s="93"/>
      <c r="CV26" s="93">
        <f t="shared" si="1"/>
        <v>144894964.974</v>
      </c>
      <c r="CW26" s="93"/>
      <c r="CX26" s="93">
        <f t="shared" si="2"/>
        <v>23449353.121999998</v>
      </c>
      <c r="CY26" s="93">
        <f t="shared" si="3"/>
        <v>121445611.85199998</v>
      </c>
      <c r="CZ26" s="93"/>
      <c r="DA26" s="210">
        <f t="shared" si="4"/>
        <v>0</v>
      </c>
    </row>
    <row r="27" spans="1:105" ht="8.25" customHeight="1">
      <c r="A27" s="319"/>
      <c r="CV27" s="93"/>
      <c r="CW27" s="93"/>
      <c r="CX27" s="93"/>
      <c r="CY27" s="93"/>
      <c r="DA27" s="210">
        <f t="shared" si="4"/>
        <v>0</v>
      </c>
    </row>
    <row r="28" spans="1:105" ht="12.75">
      <c r="A28" s="205" t="s">
        <v>499</v>
      </c>
      <c r="CV28" s="93"/>
      <c r="CW28" s="93"/>
      <c r="CX28" s="93"/>
      <c r="CY28" s="93"/>
      <c r="DA28" s="210">
        <f t="shared" si="4"/>
        <v>0</v>
      </c>
    </row>
    <row r="29" spans="1:105" ht="12.75">
      <c r="A29" s="319" t="s">
        <v>500</v>
      </c>
      <c r="B29" s="241">
        <v>8994795.455</v>
      </c>
      <c r="C29" s="244"/>
      <c r="D29" s="241">
        <v>9069350</v>
      </c>
      <c r="E29" s="244">
        <v>6679492</v>
      </c>
      <c r="F29" s="244">
        <v>2062513</v>
      </c>
      <c r="G29" s="244">
        <v>0</v>
      </c>
      <c r="H29" s="244">
        <v>0</v>
      </c>
      <c r="I29" s="244">
        <v>486592</v>
      </c>
      <c r="J29" s="241">
        <v>7086924.428</v>
      </c>
      <c r="K29" s="244"/>
      <c r="L29" s="241">
        <v>12518780.231</v>
      </c>
      <c r="M29" s="244">
        <v>12518780.231</v>
      </c>
      <c r="N29" s="244">
        <v>0</v>
      </c>
      <c r="O29" s="244">
        <v>0</v>
      </c>
      <c r="P29" s="241">
        <v>5513618.389</v>
      </c>
      <c r="Q29" s="244">
        <v>3475</v>
      </c>
      <c r="R29" s="241">
        <v>2480878.901</v>
      </c>
      <c r="S29" s="244"/>
      <c r="T29" s="241">
        <v>2150253.469</v>
      </c>
      <c r="U29" s="244"/>
      <c r="V29" s="241">
        <v>3605878.556</v>
      </c>
      <c r="W29" s="244"/>
      <c r="X29" s="244"/>
      <c r="Y29" s="241">
        <v>2568113.29</v>
      </c>
      <c r="Z29" s="244"/>
      <c r="AA29" s="241">
        <v>1810738.018</v>
      </c>
      <c r="AB29" s="244"/>
      <c r="AC29" s="241">
        <v>4778765.771</v>
      </c>
      <c r="AD29" s="241">
        <v>1732155.485</v>
      </c>
      <c r="AE29" s="244"/>
      <c r="AF29" s="241">
        <v>1340889</v>
      </c>
      <c r="AG29" s="241">
        <v>2267304.121</v>
      </c>
      <c r="AH29" s="241">
        <v>6774204.678</v>
      </c>
      <c r="AI29" s="241">
        <v>383880</v>
      </c>
      <c r="AJ29" s="244">
        <v>1229.302</v>
      </c>
      <c r="AK29" s="241">
        <v>858835.004</v>
      </c>
      <c r="AL29" s="244"/>
      <c r="AM29" s="241">
        <v>2727453.002</v>
      </c>
      <c r="AN29" s="244"/>
      <c r="AO29" s="241">
        <v>3817550.153</v>
      </c>
      <c r="AP29" s="244"/>
      <c r="AQ29" s="241">
        <v>917543.782</v>
      </c>
      <c r="AR29" s="241">
        <v>477780.956</v>
      </c>
      <c r="AS29" s="244"/>
      <c r="AT29" s="241">
        <v>106317.182</v>
      </c>
      <c r="AU29" s="244"/>
      <c r="AV29" s="241">
        <v>3461706</v>
      </c>
      <c r="AW29" s="244"/>
      <c r="AX29" s="241">
        <v>592507.284</v>
      </c>
      <c r="AY29" s="241">
        <v>1261405.175</v>
      </c>
      <c r="AZ29" s="244"/>
      <c r="BA29" s="241">
        <v>1765048.413</v>
      </c>
      <c r="BB29" s="241">
        <v>596662.704</v>
      </c>
      <c r="BC29" s="244"/>
      <c r="BD29" s="241">
        <v>62462.3473</v>
      </c>
      <c r="BE29" s="244"/>
      <c r="BF29" s="241">
        <v>1517056.933</v>
      </c>
      <c r="BG29" s="244"/>
      <c r="BH29" s="241">
        <v>181288.734</v>
      </c>
      <c r="BI29" s="244"/>
      <c r="BJ29" s="241">
        <v>1519277.236</v>
      </c>
      <c r="BK29" s="241">
        <v>160318.758</v>
      </c>
      <c r="BL29" s="244">
        <v>130318.758</v>
      </c>
      <c r="BM29" s="244">
        <v>30000</v>
      </c>
      <c r="BN29" s="241">
        <v>455338.531</v>
      </c>
      <c r="BO29" s="241">
        <v>34781.819</v>
      </c>
      <c r="BP29" s="241">
        <v>580659.1</v>
      </c>
      <c r="BQ29" s="241">
        <v>262544.099</v>
      </c>
      <c r="BR29" s="241">
        <v>1203430.362</v>
      </c>
      <c r="BS29" s="244">
        <v>1032143.48</v>
      </c>
      <c r="BT29" s="244">
        <v>149228.336</v>
      </c>
      <c r="BU29" s="244">
        <v>22058.546</v>
      </c>
      <c r="BV29" s="241">
        <v>371949.593</v>
      </c>
      <c r="BW29" s="241">
        <v>390455.911</v>
      </c>
      <c r="BX29" s="241">
        <v>416262.505</v>
      </c>
      <c r="BY29" s="244"/>
      <c r="BZ29" s="241">
        <f>7164.974+128732.378</f>
        <v>135897.35199999998</v>
      </c>
      <c r="CA29" s="244">
        <f>2328.37+26530.284</f>
        <v>28858.654</v>
      </c>
      <c r="CB29" s="244">
        <f>+BZ29-CA29</f>
        <v>107038.69799999999</v>
      </c>
      <c r="CC29" s="241">
        <v>92992.178</v>
      </c>
      <c r="CD29" s="241">
        <v>221331.946</v>
      </c>
      <c r="CE29" s="244"/>
      <c r="CF29" s="241">
        <f>20992.24+30600.699+60093.132</f>
        <v>111686.071</v>
      </c>
      <c r="CG29" s="241">
        <v>236502</v>
      </c>
      <c r="CH29" s="241">
        <v>163886.564</v>
      </c>
      <c r="CI29" s="241">
        <v>146213.569</v>
      </c>
      <c r="CJ29" s="241">
        <v>111478.987</v>
      </c>
      <c r="CK29" s="241">
        <v>120851.059</v>
      </c>
      <c r="CL29" s="241">
        <v>0</v>
      </c>
      <c r="CM29" s="241">
        <v>18805.223</v>
      </c>
      <c r="CN29" s="241">
        <v>23733.852</v>
      </c>
      <c r="CO29" s="241">
        <v>0</v>
      </c>
      <c r="CP29" s="241">
        <v>0</v>
      </c>
      <c r="CQ29" s="244"/>
      <c r="CR29" s="241">
        <v>0</v>
      </c>
      <c r="CS29" s="241">
        <v>0</v>
      </c>
      <c r="CT29" s="241"/>
      <c r="CV29" s="93">
        <f t="shared" si="1"/>
        <v>98198544.17629997</v>
      </c>
      <c r="CW29" s="93"/>
      <c r="CX29" s="93">
        <f t="shared" si="2"/>
        <v>14193499.306999998</v>
      </c>
      <c r="CY29" s="93">
        <f t="shared" si="3"/>
        <v>84005044.86929996</v>
      </c>
      <c r="CZ29" s="241"/>
      <c r="DA29" s="210">
        <f t="shared" si="4"/>
        <v>0</v>
      </c>
    </row>
    <row r="30" spans="1:105" ht="12.75">
      <c r="A30" s="319" t="s">
        <v>501</v>
      </c>
      <c r="B30" s="241">
        <v>2778337.101</v>
      </c>
      <c r="C30" s="244"/>
      <c r="D30" s="241">
        <v>4860556</v>
      </c>
      <c r="E30" s="244">
        <v>3782227</v>
      </c>
      <c r="F30" s="244">
        <v>1068064</v>
      </c>
      <c r="G30" s="244">
        <v>0</v>
      </c>
      <c r="H30" s="244">
        <v>0</v>
      </c>
      <c r="I30" s="244">
        <v>10266</v>
      </c>
      <c r="J30" s="241">
        <v>1439926.227</v>
      </c>
      <c r="K30" s="244"/>
      <c r="L30" s="241">
        <v>2678632.118</v>
      </c>
      <c r="M30" s="244">
        <v>2678632.118</v>
      </c>
      <c r="N30" s="244">
        <v>0</v>
      </c>
      <c r="O30" s="244">
        <v>0</v>
      </c>
      <c r="P30" s="241">
        <v>2271510.429</v>
      </c>
      <c r="Q30" s="244">
        <v>0</v>
      </c>
      <c r="R30" s="241">
        <v>1280241.723</v>
      </c>
      <c r="S30" s="244"/>
      <c r="T30" s="241">
        <v>884868.455</v>
      </c>
      <c r="U30" s="244"/>
      <c r="V30" s="241">
        <v>194622.65</v>
      </c>
      <c r="W30" s="244"/>
      <c r="X30" s="244"/>
      <c r="Y30" s="241">
        <v>300678.51</v>
      </c>
      <c r="Z30" s="244"/>
      <c r="AA30" s="241">
        <v>683189.43</v>
      </c>
      <c r="AB30" s="244"/>
      <c r="AC30" s="241">
        <v>1151790.985</v>
      </c>
      <c r="AD30" s="241">
        <v>585765.327</v>
      </c>
      <c r="AE30" s="244"/>
      <c r="AF30" s="241">
        <v>79855</v>
      </c>
      <c r="AG30" s="241">
        <v>285682.589</v>
      </c>
      <c r="AH30" s="241">
        <v>170484.255</v>
      </c>
      <c r="AI30" s="241">
        <v>454881.973</v>
      </c>
      <c r="AJ30" s="244">
        <v>0</v>
      </c>
      <c r="AK30" s="241">
        <v>644384.402</v>
      </c>
      <c r="AL30" s="244"/>
      <c r="AM30" s="241">
        <v>548117.206</v>
      </c>
      <c r="AN30" s="244"/>
      <c r="AO30" s="241">
        <v>279756.968</v>
      </c>
      <c r="AP30" s="244"/>
      <c r="AQ30" s="241">
        <v>531788.854</v>
      </c>
      <c r="AR30" s="241">
        <v>690460.857</v>
      </c>
      <c r="AS30" s="244"/>
      <c r="AT30" s="241">
        <v>102109.745</v>
      </c>
      <c r="AU30" s="244"/>
      <c r="AV30" s="241">
        <v>907076</v>
      </c>
      <c r="AW30" s="244"/>
      <c r="AX30" s="241">
        <v>323688.304</v>
      </c>
      <c r="AY30" s="241">
        <v>41305.463</v>
      </c>
      <c r="AZ30" s="244"/>
      <c r="BA30" s="241">
        <v>39339.918</v>
      </c>
      <c r="BB30" s="241">
        <v>2517535.055</v>
      </c>
      <c r="BC30" s="244"/>
      <c r="BD30" s="241">
        <v>450711.043</v>
      </c>
      <c r="BE30" s="244"/>
      <c r="BF30" s="241">
        <v>355097.33</v>
      </c>
      <c r="BG30" s="244"/>
      <c r="BH30" s="241">
        <v>330873.419</v>
      </c>
      <c r="BI30" s="244"/>
      <c r="BJ30" s="241">
        <v>0</v>
      </c>
      <c r="BK30" s="241">
        <v>145000</v>
      </c>
      <c r="BL30" s="244">
        <v>96000</v>
      </c>
      <c r="BM30" s="244">
        <v>49000</v>
      </c>
      <c r="BN30" s="241">
        <v>0</v>
      </c>
      <c r="BO30" s="241">
        <v>674134.171</v>
      </c>
      <c r="BP30" s="241">
        <v>30110.4</v>
      </c>
      <c r="BQ30" s="241">
        <v>10265.8</v>
      </c>
      <c r="BR30" s="241">
        <v>58178.5</v>
      </c>
      <c r="BS30" s="244">
        <v>51050.295</v>
      </c>
      <c r="BT30" s="244">
        <v>7128.205</v>
      </c>
      <c r="BU30" s="244">
        <v>0</v>
      </c>
      <c r="BV30" s="241">
        <v>28669</v>
      </c>
      <c r="BW30" s="241">
        <v>67365.416</v>
      </c>
      <c r="BX30" s="241">
        <v>728990.047</v>
      </c>
      <c r="BY30" s="244"/>
      <c r="BZ30" s="241">
        <v>20675.3</v>
      </c>
      <c r="CA30" s="244">
        <v>0</v>
      </c>
      <c r="CB30" s="244">
        <f aca="true" t="shared" si="15" ref="CB30:CB35">+BZ30-CA30</f>
        <v>20675.3</v>
      </c>
      <c r="CC30" s="241">
        <v>90803.137</v>
      </c>
      <c r="CD30" s="241">
        <v>320112.189</v>
      </c>
      <c r="CE30" s="244"/>
      <c r="CF30" s="241">
        <v>19797.74</v>
      </c>
      <c r="CG30" s="241">
        <v>4715</v>
      </c>
      <c r="CH30" s="241">
        <v>5000</v>
      </c>
      <c r="CI30" s="241">
        <v>20632.933</v>
      </c>
      <c r="CJ30" s="241">
        <v>0</v>
      </c>
      <c r="CK30" s="241">
        <v>15717.39</v>
      </c>
      <c r="CL30" s="241">
        <v>41279.6</v>
      </c>
      <c r="CM30" s="241">
        <v>3736.006</v>
      </c>
      <c r="CN30" s="241">
        <v>0</v>
      </c>
      <c r="CO30" s="241">
        <v>0</v>
      </c>
      <c r="CP30" s="241">
        <v>0</v>
      </c>
      <c r="CQ30" s="244"/>
      <c r="CR30" s="241">
        <v>0</v>
      </c>
      <c r="CS30" s="241">
        <v>0</v>
      </c>
      <c r="CT30" s="241"/>
      <c r="CV30" s="93">
        <f t="shared" si="1"/>
        <v>30148449.964999996</v>
      </c>
      <c r="CW30" s="93"/>
      <c r="CX30" s="93">
        <f t="shared" si="2"/>
        <v>5566812.816000001</v>
      </c>
      <c r="CY30" s="93">
        <f t="shared" si="3"/>
        <v>24581637.148999996</v>
      </c>
      <c r="CZ30" s="241"/>
      <c r="DA30" s="210">
        <f t="shared" si="4"/>
        <v>0</v>
      </c>
    </row>
    <row r="31" spans="1:105" ht="12.75">
      <c r="A31" s="193" t="s">
        <v>502</v>
      </c>
      <c r="B31" s="241">
        <v>3716309.728</v>
      </c>
      <c r="C31" s="244"/>
      <c r="D31" s="241">
        <v>4094740</v>
      </c>
      <c r="E31" s="244">
        <v>2169611</v>
      </c>
      <c r="F31" s="244">
        <v>1915304</v>
      </c>
      <c r="G31" s="244">
        <v>9826</v>
      </c>
      <c r="H31" s="244">
        <v>0</v>
      </c>
      <c r="I31" s="244">
        <v>0</v>
      </c>
      <c r="J31" s="241">
        <v>1729441.739</v>
      </c>
      <c r="K31" s="244"/>
      <c r="L31" s="241">
        <v>1843069.949</v>
      </c>
      <c r="M31" s="244">
        <v>1843069.949</v>
      </c>
      <c r="N31" s="244">
        <v>0</v>
      </c>
      <c r="O31" s="244">
        <v>0</v>
      </c>
      <c r="P31" s="241">
        <v>1074448.024</v>
      </c>
      <c r="Q31" s="244">
        <v>0</v>
      </c>
      <c r="R31" s="241">
        <f>414206.667</f>
        <v>414206.667</v>
      </c>
      <c r="S31" s="244"/>
      <c r="T31" s="241">
        <v>106867.15</v>
      </c>
      <c r="U31" s="244"/>
      <c r="V31" s="241">
        <v>292456</v>
      </c>
      <c r="W31" s="244"/>
      <c r="X31" s="244"/>
      <c r="Y31" s="241">
        <v>875458.981</v>
      </c>
      <c r="Z31" s="244"/>
      <c r="AA31" s="241">
        <v>417994.57</v>
      </c>
      <c r="AB31" s="244"/>
      <c r="AC31" s="241">
        <v>131959.464</v>
      </c>
      <c r="AD31" s="241">
        <v>83914.461</v>
      </c>
      <c r="AE31" s="244"/>
      <c r="AF31" s="241">
        <v>346140</v>
      </c>
      <c r="AG31" s="241">
        <v>152365.819</v>
      </c>
      <c r="AH31" s="241">
        <v>248177</v>
      </c>
      <c r="AI31" s="241">
        <v>250473</v>
      </c>
      <c r="AJ31" s="244">
        <v>0</v>
      </c>
      <c r="AK31" s="241">
        <v>0</v>
      </c>
      <c r="AL31" s="244"/>
      <c r="AM31" s="241">
        <v>13581.23</v>
      </c>
      <c r="AN31" s="244"/>
      <c r="AO31" s="241">
        <v>0</v>
      </c>
      <c r="AP31" s="244"/>
      <c r="AQ31" s="241">
        <v>155428.602</v>
      </c>
      <c r="AR31" s="241">
        <v>0</v>
      </c>
      <c r="AS31" s="244"/>
      <c r="AT31" s="241">
        <v>239349</v>
      </c>
      <c r="AU31" s="244"/>
      <c r="AV31" s="241">
        <v>0</v>
      </c>
      <c r="AW31" s="244"/>
      <c r="AX31" s="241">
        <v>29550</v>
      </c>
      <c r="AY31" s="241">
        <v>216162.094</v>
      </c>
      <c r="AZ31" s="244"/>
      <c r="BA31" s="241">
        <v>81124.5</v>
      </c>
      <c r="BB31" s="241">
        <v>0</v>
      </c>
      <c r="BC31" s="244"/>
      <c r="BD31" s="241">
        <v>43300</v>
      </c>
      <c r="BE31" s="244"/>
      <c r="BF31" s="241">
        <v>243675.047</v>
      </c>
      <c r="BG31" s="244"/>
      <c r="BH31" s="241">
        <v>0</v>
      </c>
      <c r="BI31" s="244"/>
      <c r="BJ31" s="241">
        <v>0</v>
      </c>
      <c r="BK31" s="241">
        <v>0</v>
      </c>
      <c r="BL31" s="244">
        <v>0</v>
      </c>
      <c r="BM31" s="244">
        <v>0</v>
      </c>
      <c r="BN31" s="241">
        <v>0</v>
      </c>
      <c r="BO31" s="241">
        <v>3500</v>
      </c>
      <c r="BP31" s="241">
        <v>2950</v>
      </c>
      <c r="BQ31" s="241">
        <v>0</v>
      </c>
      <c r="BR31" s="241">
        <v>161963.5</v>
      </c>
      <c r="BS31" s="244">
        <v>147118.264</v>
      </c>
      <c r="BT31" s="244">
        <v>14845.236</v>
      </c>
      <c r="BU31" s="244">
        <v>0</v>
      </c>
      <c r="BV31" s="241">
        <v>40410</v>
      </c>
      <c r="BW31" s="241">
        <v>46420.632</v>
      </c>
      <c r="BX31" s="241">
        <v>0</v>
      </c>
      <c r="BY31" s="244"/>
      <c r="BZ31" s="241">
        <v>42596</v>
      </c>
      <c r="CA31" s="244">
        <v>8704</v>
      </c>
      <c r="CB31" s="244">
        <f t="shared" si="15"/>
        <v>33892</v>
      </c>
      <c r="CC31" s="241">
        <v>570</v>
      </c>
      <c r="CD31" s="241">
        <v>9350</v>
      </c>
      <c r="CE31" s="244"/>
      <c r="CF31" s="241">
        <v>18340</v>
      </c>
      <c r="CG31" s="241">
        <v>0</v>
      </c>
      <c r="CH31" s="241">
        <v>0</v>
      </c>
      <c r="CI31" s="241">
        <v>0</v>
      </c>
      <c r="CJ31" s="241">
        <v>21723</v>
      </c>
      <c r="CK31" s="241">
        <v>0</v>
      </c>
      <c r="CL31" s="241">
        <v>2600</v>
      </c>
      <c r="CM31" s="241">
        <v>0</v>
      </c>
      <c r="CN31" s="241">
        <v>0</v>
      </c>
      <c r="CO31" s="241">
        <v>0</v>
      </c>
      <c r="CP31" s="241">
        <v>0</v>
      </c>
      <c r="CQ31" s="244"/>
      <c r="CR31" s="241">
        <v>0</v>
      </c>
      <c r="CS31" s="241">
        <v>0</v>
      </c>
      <c r="CT31" s="241"/>
      <c r="CV31" s="93">
        <f t="shared" si="1"/>
        <v>17150616.157</v>
      </c>
      <c r="CW31" s="93"/>
      <c r="CX31" s="93">
        <f t="shared" si="2"/>
        <v>4541211.734</v>
      </c>
      <c r="CY31" s="93">
        <f t="shared" si="3"/>
        <v>12609404.423000002</v>
      </c>
      <c r="CZ31" s="241"/>
      <c r="DA31" s="210">
        <f t="shared" si="4"/>
        <v>0</v>
      </c>
    </row>
    <row r="32" spans="1:105" ht="12.75">
      <c r="A32" s="319" t="s">
        <v>503</v>
      </c>
      <c r="B32" s="241">
        <v>0</v>
      </c>
      <c r="C32" s="244"/>
      <c r="D32" s="241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1">
        <v>0</v>
      </c>
      <c r="K32" s="244"/>
      <c r="L32" s="241">
        <v>0</v>
      </c>
      <c r="M32" s="244">
        <f>+L32-N32</f>
        <v>0</v>
      </c>
      <c r="N32" s="244">
        <v>0</v>
      </c>
      <c r="O32" s="244">
        <v>0</v>
      </c>
      <c r="P32" s="241">
        <v>0</v>
      </c>
      <c r="Q32" s="244">
        <v>0</v>
      </c>
      <c r="R32" s="241">
        <v>101244.06</v>
      </c>
      <c r="S32" s="244"/>
      <c r="T32" s="241">
        <v>0</v>
      </c>
      <c r="U32" s="244"/>
      <c r="V32" s="241">
        <v>0</v>
      </c>
      <c r="W32" s="244"/>
      <c r="X32" s="244"/>
      <c r="Y32" s="241">
        <v>0</v>
      </c>
      <c r="Z32" s="244"/>
      <c r="AA32" s="241">
        <v>0</v>
      </c>
      <c r="AB32" s="244"/>
      <c r="AC32" s="241">
        <v>0</v>
      </c>
      <c r="AD32" s="241">
        <v>0</v>
      </c>
      <c r="AE32" s="244"/>
      <c r="AF32" s="241">
        <v>0</v>
      </c>
      <c r="AG32" s="241">
        <v>0</v>
      </c>
      <c r="AH32" s="241">
        <v>93990.546</v>
      </c>
      <c r="AI32" s="241">
        <v>328938.211</v>
      </c>
      <c r="AJ32" s="244">
        <v>49757.54</v>
      </c>
      <c r="AK32" s="241">
        <v>0</v>
      </c>
      <c r="AL32" s="244"/>
      <c r="AM32" s="241">
        <v>0</v>
      </c>
      <c r="AN32" s="244"/>
      <c r="AO32" s="241">
        <v>0</v>
      </c>
      <c r="AP32" s="244"/>
      <c r="AQ32" s="241">
        <v>0</v>
      </c>
      <c r="AR32" s="241">
        <v>0</v>
      </c>
      <c r="AS32" s="244"/>
      <c r="AT32" s="241">
        <v>11081.71</v>
      </c>
      <c r="AU32" s="244"/>
      <c r="AV32" s="241">
        <v>0</v>
      </c>
      <c r="AW32" s="244"/>
      <c r="AX32" s="241">
        <v>0</v>
      </c>
      <c r="AY32" s="241">
        <v>0</v>
      </c>
      <c r="AZ32" s="244"/>
      <c r="BA32" s="241">
        <v>0</v>
      </c>
      <c r="BB32" s="241">
        <v>0</v>
      </c>
      <c r="BC32" s="244"/>
      <c r="BD32" s="241">
        <v>0</v>
      </c>
      <c r="BE32" s="244"/>
      <c r="BF32" s="241">
        <v>0</v>
      </c>
      <c r="BG32" s="244"/>
      <c r="BH32" s="241">
        <v>0</v>
      </c>
      <c r="BI32" s="244"/>
      <c r="BJ32" s="241">
        <v>0</v>
      </c>
      <c r="BK32" s="241">
        <v>0</v>
      </c>
      <c r="BL32" s="244">
        <v>0</v>
      </c>
      <c r="BM32" s="244">
        <v>0</v>
      </c>
      <c r="BN32" s="241">
        <v>0</v>
      </c>
      <c r="BO32" s="241">
        <v>0</v>
      </c>
      <c r="BP32" s="241">
        <v>0</v>
      </c>
      <c r="BQ32" s="241">
        <v>0</v>
      </c>
      <c r="BR32" s="241">
        <v>0</v>
      </c>
      <c r="BS32" s="244">
        <v>0</v>
      </c>
      <c r="BT32" s="244">
        <v>0</v>
      </c>
      <c r="BU32" s="244">
        <v>0</v>
      </c>
      <c r="BV32" s="241">
        <v>0</v>
      </c>
      <c r="BW32" s="241">
        <v>0</v>
      </c>
      <c r="BX32" s="241">
        <v>0</v>
      </c>
      <c r="BY32" s="244"/>
      <c r="BZ32" s="241">
        <v>0</v>
      </c>
      <c r="CA32" s="244">
        <v>0</v>
      </c>
      <c r="CB32" s="244">
        <f t="shared" si="15"/>
        <v>0</v>
      </c>
      <c r="CC32" s="241">
        <v>0</v>
      </c>
      <c r="CD32" s="241">
        <v>0</v>
      </c>
      <c r="CE32" s="244"/>
      <c r="CF32" s="241">
        <v>0</v>
      </c>
      <c r="CG32" s="241">
        <v>0</v>
      </c>
      <c r="CH32" s="241">
        <v>0</v>
      </c>
      <c r="CI32" s="241">
        <v>0</v>
      </c>
      <c r="CJ32" s="241">
        <v>0</v>
      </c>
      <c r="CK32" s="241">
        <v>0</v>
      </c>
      <c r="CL32" s="241">
        <v>0</v>
      </c>
      <c r="CM32" s="241">
        <v>31631.949</v>
      </c>
      <c r="CN32" s="241">
        <v>43724.693</v>
      </c>
      <c r="CO32" s="241">
        <v>0</v>
      </c>
      <c r="CP32" s="241">
        <v>0</v>
      </c>
      <c r="CQ32" s="244"/>
      <c r="CR32" s="241">
        <v>0</v>
      </c>
      <c r="CS32" s="241">
        <v>0</v>
      </c>
      <c r="CT32" s="241"/>
      <c r="CV32" s="93">
        <f t="shared" si="1"/>
        <v>610611.169</v>
      </c>
      <c r="CW32" s="93"/>
      <c r="CX32" s="93">
        <f t="shared" si="2"/>
        <v>75356.64199999999</v>
      </c>
      <c r="CY32" s="93">
        <f t="shared" si="3"/>
        <v>535254.527</v>
      </c>
      <c r="CZ32" s="241"/>
      <c r="DA32" s="210">
        <f t="shared" si="4"/>
        <v>0</v>
      </c>
    </row>
    <row r="33" spans="1:105" ht="12.75">
      <c r="A33" s="319" t="s">
        <v>504</v>
      </c>
      <c r="B33" s="241">
        <v>7440.243</v>
      </c>
      <c r="C33" s="244"/>
      <c r="D33" s="241">
        <v>0</v>
      </c>
      <c r="E33" s="244">
        <v>0</v>
      </c>
      <c r="F33" s="244">
        <v>0</v>
      </c>
      <c r="G33" s="244">
        <v>0</v>
      </c>
      <c r="H33" s="244">
        <v>0</v>
      </c>
      <c r="I33" s="244">
        <v>0</v>
      </c>
      <c r="J33" s="241">
        <v>30071.371</v>
      </c>
      <c r="K33" s="244"/>
      <c r="L33" s="241">
        <v>0</v>
      </c>
      <c r="M33" s="244">
        <f>+L33-N33</f>
        <v>0</v>
      </c>
      <c r="N33" s="244">
        <v>0</v>
      </c>
      <c r="O33" s="244">
        <v>0</v>
      </c>
      <c r="P33" s="241">
        <v>3710.85</v>
      </c>
      <c r="Q33" s="244">
        <v>0</v>
      </c>
      <c r="R33" s="241">
        <f>3224.55+12252.88</f>
        <v>15477.43</v>
      </c>
      <c r="S33" s="244"/>
      <c r="T33" s="241">
        <v>3349.397</v>
      </c>
      <c r="U33" s="244"/>
      <c r="V33" s="241">
        <v>0</v>
      </c>
      <c r="W33" s="244"/>
      <c r="X33" s="244"/>
      <c r="Y33" s="241">
        <v>0</v>
      </c>
      <c r="Z33" s="244"/>
      <c r="AA33" s="241">
        <v>15197.522</v>
      </c>
      <c r="AB33" s="244"/>
      <c r="AC33" s="241">
        <v>10695.686</v>
      </c>
      <c r="AD33" s="241">
        <v>891.453</v>
      </c>
      <c r="AE33" s="244"/>
      <c r="AF33" s="241">
        <v>0</v>
      </c>
      <c r="AG33" s="241">
        <v>0</v>
      </c>
      <c r="AH33" s="241">
        <v>804.386</v>
      </c>
      <c r="AI33" s="241">
        <v>8332.024</v>
      </c>
      <c r="AJ33" s="244">
        <v>0</v>
      </c>
      <c r="AK33" s="241">
        <v>0</v>
      </c>
      <c r="AL33" s="244"/>
      <c r="AM33" s="241">
        <v>0</v>
      </c>
      <c r="AN33" s="244"/>
      <c r="AO33" s="241">
        <v>0</v>
      </c>
      <c r="AP33" s="244"/>
      <c r="AQ33" s="241">
        <v>0</v>
      </c>
      <c r="AR33" s="241">
        <v>0</v>
      </c>
      <c r="AS33" s="244"/>
      <c r="AT33" s="241">
        <v>0</v>
      </c>
      <c r="AU33" s="244"/>
      <c r="AV33" s="241">
        <v>0</v>
      </c>
      <c r="AW33" s="244"/>
      <c r="AX33" s="241">
        <v>0</v>
      </c>
      <c r="AY33" s="241">
        <v>0</v>
      </c>
      <c r="AZ33" s="244"/>
      <c r="BA33" s="241">
        <v>0</v>
      </c>
      <c r="BB33" s="241">
        <v>0</v>
      </c>
      <c r="BC33" s="244"/>
      <c r="BD33" s="241">
        <v>0</v>
      </c>
      <c r="BE33" s="244"/>
      <c r="BF33" s="241">
        <v>445.684</v>
      </c>
      <c r="BG33" s="244"/>
      <c r="BH33" s="241">
        <v>0</v>
      </c>
      <c r="BI33" s="244"/>
      <c r="BJ33" s="241">
        <v>0</v>
      </c>
      <c r="BK33" s="241">
        <v>0</v>
      </c>
      <c r="BL33" s="244">
        <v>0</v>
      </c>
      <c r="BM33" s="244">
        <v>0</v>
      </c>
      <c r="BN33" s="241">
        <v>0</v>
      </c>
      <c r="BO33" s="241">
        <v>0</v>
      </c>
      <c r="BP33" s="241">
        <v>0</v>
      </c>
      <c r="BQ33" s="241">
        <v>0</v>
      </c>
      <c r="BR33" s="241">
        <v>4484.934</v>
      </c>
      <c r="BS33" s="244">
        <v>4099.113</v>
      </c>
      <c r="BT33" s="244">
        <v>385.821</v>
      </c>
      <c r="BU33" s="244">
        <v>0</v>
      </c>
      <c r="BV33" s="241">
        <v>0</v>
      </c>
      <c r="BW33" s="241">
        <v>0</v>
      </c>
      <c r="BX33" s="241">
        <v>0</v>
      </c>
      <c r="BY33" s="244"/>
      <c r="BZ33" s="241">
        <v>0</v>
      </c>
      <c r="CA33" s="244">
        <v>0</v>
      </c>
      <c r="CB33" s="244">
        <f t="shared" si="15"/>
        <v>0</v>
      </c>
      <c r="CC33" s="241">
        <v>0</v>
      </c>
      <c r="CD33" s="241">
        <v>0</v>
      </c>
      <c r="CE33" s="244"/>
      <c r="CF33" s="241">
        <v>20000</v>
      </c>
      <c r="CG33" s="241">
        <v>0</v>
      </c>
      <c r="CH33" s="241">
        <v>0</v>
      </c>
      <c r="CI33" s="241">
        <v>0</v>
      </c>
      <c r="CJ33" s="241">
        <v>0</v>
      </c>
      <c r="CK33" s="241">
        <v>0</v>
      </c>
      <c r="CL33" s="241">
        <v>0</v>
      </c>
      <c r="CM33" s="241">
        <v>0</v>
      </c>
      <c r="CN33" s="241">
        <v>0</v>
      </c>
      <c r="CO33" s="241">
        <v>0</v>
      </c>
      <c r="CP33" s="241">
        <v>0</v>
      </c>
      <c r="CQ33" s="244"/>
      <c r="CR33" s="241">
        <v>0</v>
      </c>
      <c r="CS33" s="241">
        <v>0</v>
      </c>
      <c r="CT33" s="241"/>
      <c r="CV33" s="93">
        <f t="shared" si="1"/>
        <v>120900.97999999998</v>
      </c>
      <c r="CW33" s="93"/>
      <c r="CX33" s="93">
        <f t="shared" si="2"/>
        <v>24484.934</v>
      </c>
      <c r="CY33" s="93">
        <f t="shared" si="3"/>
        <v>96416.04599999999</v>
      </c>
      <c r="CZ33" s="241"/>
      <c r="DA33" s="210">
        <f t="shared" si="4"/>
        <v>0</v>
      </c>
    </row>
    <row r="34" spans="1:105" ht="12.75">
      <c r="A34" s="319" t="s">
        <v>505</v>
      </c>
      <c r="B34" s="241">
        <v>0</v>
      </c>
      <c r="C34" s="244"/>
      <c r="D34" s="241">
        <v>10090</v>
      </c>
      <c r="E34" s="244">
        <v>6336</v>
      </c>
      <c r="F34" s="244">
        <v>3754</v>
      </c>
      <c r="G34" s="244">
        <v>0</v>
      </c>
      <c r="H34" s="244">
        <v>0</v>
      </c>
      <c r="I34" s="244">
        <v>0</v>
      </c>
      <c r="J34" s="241">
        <v>141235.442</v>
      </c>
      <c r="K34" s="244"/>
      <c r="L34" s="241">
        <v>1285.799</v>
      </c>
      <c r="M34" s="244">
        <v>1285.799</v>
      </c>
      <c r="N34" s="244">
        <v>0</v>
      </c>
      <c r="O34" s="244">
        <v>0</v>
      </c>
      <c r="P34" s="241">
        <v>0</v>
      </c>
      <c r="Q34" s="244">
        <v>0</v>
      </c>
      <c r="R34" s="241">
        <v>0</v>
      </c>
      <c r="S34" s="244"/>
      <c r="T34" s="241">
        <v>0</v>
      </c>
      <c r="U34" s="244"/>
      <c r="V34" s="241">
        <v>0</v>
      </c>
      <c r="W34" s="244"/>
      <c r="X34" s="244"/>
      <c r="Y34" s="241">
        <v>49092.645</v>
      </c>
      <c r="Z34" s="244"/>
      <c r="AA34" s="241">
        <v>0</v>
      </c>
      <c r="AB34" s="244"/>
      <c r="AC34" s="241">
        <v>0</v>
      </c>
      <c r="AD34" s="241">
        <v>0</v>
      </c>
      <c r="AE34" s="244"/>
      <c r="AF34" s="241">
        <v>0</v>
      </c>
      <c r="AG34" s="241">
        <v>0</v>
      </c>
      <c r="AH34" s="241">
        <v>0</v>
      </c>
      <c r="AI34" s="241">
        <v>0</v>
      </c>
      <c r="AJ34" s="244">
        <v>0</v>
      </c>
      <c r="AK34" s="241">
        <v>0</v>
      </c>
      <c r="AL34" s="244"/>
      <c r="AM34" s="241">
        <v>0</v>
      </c>
      <c r="AN34" s="244"/>
      <c r="AO34" s="241">
        <v>0</v>
      </c>
      <c r="AP34" s="244"/>
      <c r="AQ34" s="241">
        <v>723.077</v>
      </c>
      <c r="AR34" s="241">
        <v>0</v>
      </c>
      <c r="AS34" s="244"/>
      <c r="AT34" s="241">
        <v>0</v>
      </c>
      <c r="AU34" s="244"/>
      <c r="AV34" s="241">
        <v>0</v>
      </c>
      <c r="AW34" s="244"/>
      <c r="AX34" s="241">
        <v>0</v>
      </c>
      <c r="AY34" s="241">
        <v>0</v>
      </c>
      <c r="AZ34" s="244"/>
      <c r="BA34" s="241">
        <v>0</v>
      </c>
      <c r="BB34" s="241">
        <v>0</v>
      </c>
      <c r="BC34" s="244"/>
      <c r="BD34" s="241">
        <v>0</v>
      </c>
      <c r="BE34" s="244"/>
      <c r="BF34" s="241">
        <v>0</v>
      </c>
      <c r="BG34" s="244"/>
      <c r="BH34" s="241">
        <v>0</v>
      </c>
      <c r="BI34" s="244"/>
      <c r="BJ34" s="241">
        <v>0</v>
      </c>
      <c r="BK34" s="241">
        <v>0</v>
      </c>
      <c r="BL34" s="244">
        <v>0</v>
      </c>
      <c r="BM34" s="244">
        <v>0</v>
      </c>
      <c r="BN34" s="241">
        <v>0</v>
      </c>
      <c r="BO34" s="241">
        <v>0</v>
      </c>
      <c r="BP34" s="241">
        <v>0</v>
      </c>
      <c r="BQ34" s="241">
        <v>0</v>
      </c>
      <c r="BR34" s="241">
        <v>0</v>
      </c>
      <c r="BS34" s="244">
        <v>0</v>
      </c>
      <c r="BT34" s="244">
        <v>0</v>
      </c>
      <c r="BU34" s="244">
        <v>0</v>
      </c>
      <c r="BV34" s="241">
        <v>0</v>
      </c>
      <c r="BW34" s="241">
        <v>0</v>
      </c>
      <c r="BX34" s="241">
        <v>0</v>
      </c>
      <c r="BY34" s="244"/>
      <c r="BZ34" s="241">
        <v>0</v>
      </c>
      <c r="CA34" s="244">
        <v>0</v>
      </c>
      <c r="CB34" s="244">
        <f t="shared" si="15"/>
        <v>0</v>
      </c>
      <c r="CC34" s="241">
        <v>0</v>
      </c>
      <c r="CD34" s="241">
        <v>0</v>
      </c>
      <c r="CE34" s="244"/>
      <c r="CF34" s="241">
        <v>0</v>
      </c>
      <c r="CG34" s="241">
        <v>0</v>
      </c>
      <c r="CH34" s="241">
        <v>0</v>
      </c>
      <c r="CI34" s="241">
        <v>0</v>
      </c>
      <c r="CJ34" s="241">
        <v>0</v>
      </c>
      <c r="CK34" s="241">
        <v>0</v>
      </c>
      <c r="CL34" s="241">
        <v>0</v>
      </c>
      <c r="CM34" s="241">
        <v>0</v>
      </c>
      <c r="CN34" s="241">
        <v>0</v>
      </c>
      <c r="CO34" s="241">
        <v>0</v>
      </c>
      <c r="CP34" s="241">
        <v>0</v>
      </c>
      <c r="CQ34" s="244"/>
      <c r="CR34" s="241">
        <v>0</v>
      </c>
      <c r="CS34" s="241">
        <v>0</v>
      </c>
      <c r="CT34" s="241"/>
      <c r="CV34" s="93">
        <f t="shared" si="1"/>
        <v>202426.963</v>
      </c>
      <c r="CW34" s="93"/>
      <c r="CX34" s="93">
        <f t="shared" si="2"/>
        <v>10813.077</v>
      </c>
      <c r="CY34" s="93">
        <f t="shared" si="3"/>
        <v>191613.886</v>
      </c>
      <c r="CZ34" s="241"/>
      <c r="DA34" s="210">
        <f t="shared" si="4"/>
        <v>0</v>
      </c>
    </row>
    <row r="35" spans="1:105" ht="12.75">
      <c r="A35" s="168" t="s">
        <v>506</v>
      </c>
      <c r="B35" s="241">
        <v>0</v>
      </c>
      <c r="C35" s="244"/>
      <c r="D35" s="241"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v>0</v>
      </c>
      <c r="J35" s="241">
        <v>30000</v>
      </c>
      <c r="K35" s="244"/>
      <c r="L35" s="241">
        <v>0</v>
      </c>
      <c r="M35" s="244">
        <f>+L35-N35</f>
        <v>0</v>
      </c>
      <c r="N35" s="244">
        <v>0</v>
      </c>
      <c r="O35" s="244">
        <v>0</v>
      </c>
      <c r="P35" s="241">
        <v>0</v>
      </c>
      <c r="Q35" s="244">
        <v>0</v>
      </c>
      <c r="R35" s="241">
        <v>0</v>
      </c>
      <c r="S35" s="244"/>
      <c r="T35" s="241">
        <v>0</v>
      </c>
      <c r="U35" s="244"/>
      <c r="V35" s="241">
        <v>0</v>
      </c>
      <c r="W35" s="244"/>
      <c r="X35" s="244"/>
      <c r="Y35" s="241">
        <v>0</v>
      </c>
      <c r="Z35" s="244"/>
      <c r="AA35" s="241">
        <v>0</v>
      </c>
      <c r="AB35" s="244"/>
      <c r="AC35" s="241">
        <v>0</v>
      </c>
      <c r="AD35" s="241">
        <v>0</v>
      </c>
      <c r="AE35" s="244"/>
      <c r="AF35" s="241">
        <v>0</v>
      </c>
      <c r="AG35" s="241">
        <v>0</v>
      </c>
      <c r="AH35" s="241">
        <v>0</v>
      </c>
      <c r="AI35" s="241">
        <v>0</v>
      </c>
      <c r="AJ35" s="244">
        <v>0</v>
      </c>
      <c r="AK35" s="241">
        <v>15000</v>
      </c>
      <c r="AL35" s="244"/>
      <c r="AM35" s="241">
        <v>0</v>
      </c>
      <c r="AN35" s="244"/>
      <c r="AO35" s="241">
        <v>0</v>
      </c>
      <c r="AP35" s="244"/>
      <c r="AQ35" s="241">
        <v>0</v>
      </c>
      <c r="AR35" s="241">
        <v>0</v>
      </c>
      <c r="AS35" s="244"/>
      <c r="AT35" s="241">
        <v>0</v>
      </c>
      <c r="AU35" s="244"/>
      <c r="AV35" s="241">
        <v>0</v>
      </c>
      <c r="AW35" s="244"/>
      <c r="AX35" s="241">
        <v>0</v>
      </c>
      <c r="AY35" s="241">
        <v>0</v>
      </c>
      <c r="AZ35" s="244"/>
      <c r="BA35" s="241">
        <v>0</v>
      </c>
      <c r="BB35" s="241">
        <v>0</v>
      </c>
      <c r="BC35" s="244"/>
      <c r="BD35" s="241">
        <v>0</v>
      </c>
      <c r="BE35" s="244"/>
      <c r="BF35" s="241">
        <v>0</v>
      </c>
      <c r="BG35" s="244"/>
      <c r="BH35" s="241">
        <v>0</v>
      </c>
      <c r="BI35" s="244"/>
      <c r="BJ35" s="241">
        <v>0</v>
      </c>
      <c r="BK35" s="241">
        <v>0</v>
      </c>
      <c r="BL35" s="244">
        <v>0</v>
      </c>
      <c r="BM35" s="244">
        <v>0</v>
      </c>
      <c r="BN35" s="241">
        <v>0</v>
      </c>
      <c r="BO35" s="241">
        <v>0</v>
      </c>
      <c r="BP35" s="241">
        <v>0</v>
      </c>
      <c r="BQ35" s="241">
        <v>0</v>
      </c>
      <c r="BR35" s="241">
        <v>0</v>
      </c>
      <c r="BS35" s="244">
        <v>0</v>
      </c>
      <c r="BT35" s="244">
        <v>0</v>
      </c>
      <c r="BU35" s="244">
        <v>0</v>
      </c>
      <c r="BV35" s="241">
        <v>0</v>
      </c>
      <c r="BW35" s="241">
        <v>0</v>
      </c>
      <c r="BX35" s="241">
        <v>0</v>
      </c>
      <c r="BY35" s="244"/>
      <c r="BZ35" s="241">
        <v>0</v>
      </c>
      <c r="CA35" s="244">
        <v>0</v>
      </c>
      <c r="CB35" s="244">
        <f t="shared" si="15"/>
        <v>0</v>
      </c>
      <c r="CC35" s="241">
        <v>0</v>
      </c>
      <c r="CD35" s="241">
        <v>0</v>
      </c>
      <c r="CE35" s="244"/>
      <c r="CF35" s="241">
        <v>0</v>
      </c>
      <c r="CG35" s="241">
        <v>0</v>
      </c>
      <c r="CH35" s="241">
        <v>0</v>
      </c>
      <c r="CI35" s="241">
        <v>0</v>
      </c>
      <c r="CJ35" s="241">
        <v>0</v>
      </c>
      <c r="CK35" s="241">
        <v>0</v>
      </c>
      <c r="CL35" s="241">
        <v>0</v>
      </c>
      <c r="CM35" s="241">
        <v>0</v>
      </c>
      <c r="CN35" s="241">
        <v>0</v>
      </c>
      <c r="CO35" s="241">
        <v>0</v>
      </c>
      <c r="CP35" s="241">
        <v>0</v>
      </c>
      <c r="CQ35" s="244"/>
      <c r="CR35" s="241">
        <v>0</v>
      </c>
      <c r="CS35" s="241">
        <v>0</v>
      </c>
      <c r="CT35" s="241"/>
      <c r="CV35" s="93">
        <f t="shared" si="1"/>
        <v>45000</v>
      </c>
      <c r="CW35" s="93"/>
      <c r="CX35" s="93">
        <f t="shared" si="2"/>
        <v>0</v>
      </c>
      <c r="CY35" s="93">
        <f t="shared" si="3"/>
        <v>45000</v>
      </c>
      <c r="CZ35" s="241"/>
      <c r="DA35" s="210">
        <f t="shared" si="4"/>
        <v>0</v>
      </c>
    </row>
    <row r="36" spans="1:105" ht="12.75">
      <c r="A36" s="324" t="s">
        <v>507</v>
      </c>
      <c r="B36" s="93">
        <f aca="true" t="shared" si="16" ref="B36:L36">SUM(B29:B35)</f>
        <v>15496882.527</v>
      </c>
      <c r="C36" s="219"/>
      <c r="D36" s="93">
        <f>SUM(D29:D35)+1</f>
        <v>18034737</v>
      </c>
      <c r="E36" s="219">
        <f t="shared" si="16"/>
        <v>12637666</v>
      </c>
      <c r="F36" s="219">
        <f>SUM(F29:F35)-1</f>
        <v>5049634</v>
      </c>
      <c r="G36" s="219">
        <f t="shared" si="16"/>
        <v>9826</v>
      </c>
      <c r="H36" s="219">
        <f t="shared" si="16"/>
        <v>0</v>
      </c>
      <c r="I36" s="219">
        <f t="shared" si="16"/>
        <v>496858</v>
      </c>
      <c r="J36" s="93">
        <f t="shared" si="16"/>
        <v>10457599.207</v>
      </c>
      <c r="K36" s="219"/>
      <c r="L36" s="93">
        <f t="shared" si="16"/>
        <v>17041768.097</v>
      </c>
      <c r="M36" s="219">
        <f aca="true" t="shared" si="17" ref="M36:V36">SUM(M29:M35)</f>
        <v>17041768.097</v>
      </c>
      <c r="N36" s="219">
        <f t="shared" si="17"/>
        <v>0</v>
      </c>
      <c r="O36" s="219">
        <f t="shared" si="17"/>
        <v>0</v>
      </c>
      <c r="P36" s="93">
        <f t="shared" si="17"/>
        <v>8863287.692</v>
      </c>
      <c r="Q36" s="219">
        <f t="shared" si="17"/>
        <v>3475</v>
      </c>
      <c r="R36" s="93">
        <f t="shared" si="17"/>
        <v>4292048.7809999995</v>
      </c>
      <c r="S36" s="219"/>
      <c r="T36" s="93">
        <f t="shared" si="17"/>
        <v>3145338.471</v>
      </c>
      <c r="U36" s="219"/>
      <c r="V36" s="93">
        <f t="shared" si="17"/>
        <v>4092957.206</v>
      </c>
      <c r="W36" s="219"/>
      <c r="X36" s="219"/>
      <c r="Y36" s="93">
        <f aca="true" t="shared" si="18" ref="Y36:BP36">SUM(Y29:Y35)</f>
        <v>3793343.426</v>
      </c>
      <c r="Z36" s="219"/>
      <c r="AA36" s="93">
        <f t="shared" si="18"/>
        <v>2927119.5399999996</v>
      </c>
      <c r="AB36" s="219"/>
      <c r="AC36" s="93">
        <f t="shared" si="18"/>
        <v>6073211.9059999995</v>
      </c>
      <c r="AD36" s="93">
        <f t="shared" si="18"/>
        <v>2402726.7260000003</v>
      </c>
      <c r="AE36" s="219">
        <v>2578</v>
      </c>
      <c r="AF36" s="93">
        <f t="shared" si="18"/>
        <v>1766884</v>
      </c>
      <c r="AG36" s="93">
        <f t="shared" si="18"/>
        <v>2705352.529</v>
      </c>
      <c r="AH36" s="93">
        <f t="shared" si="18"/>
        <v>7287660.865</v>
      </c>
      <c r="AI36" s="93">
        <f t="shared" si="18"/>
        <v>1426505.2079999999</v>
      </c>
      <c r="AJ36" s="219">
        <f t="shared" si="18"/>
        <v>50986.842000000004</v>
      </c>
      <c r="AK36" s="93">
        <f t="shared" si="18"/>
        <v>1518219.406</v>
      </c>
      <c r="AL36" s="219"/>
      <c r="AM36" s="93">
        <f t="shared" si="18"/>
        <v>3289151.4379999996</v>
      </c>
      <c r="AN36" s="219"/>
      <c r="AO36" s="93">
        <f t="shared" si="18"/>
        <v>4097307.121</v>
      </c>
      <c r="AP36" s="219"/>
      <c r="AQ36" s="93">
        <f t="shared" si="18"/>
        <v>1605484.315</v>
      </c>
      <c r="AR36" s="93">
        <f t="shared" si="18"/>
        <v>1168241.813</v>
      </c>
      <c r="AS36" s="219"/>
      <c r="AT36" s="93">
        <f t="shared" si="18"/>
        <v>458857.63700000005</v>
      </c>
      <c r="AU36" s="219"/>
      <c r="AV36" s="93">
        <f t="shared" si="18"/>
        <v>4368782</v>
      </c>
      <c r="AW36" s="219"/>
      <c r="AX36" s="93">
        <f t="shared" si="18"/>
        <v>945745.588</v>
      </c>
      <c r="AY36" s="93">
        <f t="shared" si="18"/>
        <v>1518872.732</v>
      </c>
      <c r="AZ36" s="219"/>
      <c r="BA36" s="93">
        <f t="shared" si="18"/>
        <v>1885512.831</v>
      </c>
      <c r="BB36" s="93">
        <f t="shared" si="18"/>
        <v>3114197.759</v>
      </c>
      <c r="BC36" s="219"/>
      <c r="BD36" s="93">
        <f t="shared" si="18"/>
        <v>556473.3903000001</v>
      </c>
      <c r="BE36" s="219"/>
      <c r="BF36" s="93">
        <f t="shared" si="18"/>
        <v>2116274.994</v>
      </c>
      <c r="BG36" s="219"/>
      <c r="BH36" s="93">
        <f t="shared" si="18"/>
        <v>512162.153</v>
      </c>
      <c r="BI36" s="219"/>
      <c r="BJ36" s="93">
        <f t="shared" si="18"/>
        <v>1519277.236</v>
      </c>
      <c r="BK36" s="93">
        <f t="shared" si="18"/>
        <v>305318.75800000003</v>
      </c>
      <c r="BL36" s="219">
        <f t="shared" si="18"/>
        <v>226318.758</v>
      </c>
      <c r="BM36" s="219">
        <f t="shared" si="18"/>
        <v>79000</v>
      </c>
      <c r="BN36" s="93">
        <f t="shared" si="18"/>
        <v>455338.531</v>
      </c>
      <c r="BO36" s="93">
        <f t="shared" si="18"/>
        <v>712415.99</v>
      </c>
      <c r="BP36" s="93">
        <f t="shared" si="18"/>
        <v>613719.5</v>
      </c>
      <c r="BQ36" s="93">
        <f aca="true" t="shared" si="19" ref="BQ36:BX36">SUM(BQ29:BQ35)</f>
        <v>272809.899</v>
      </c>
      <c r="BR36" s="93">
        <f t="shared" si="19"/>
        <v>1428057.2959999999</v>
      </c>
      <c r="BS36" s="219">
        <f t="shared" si="19"/>
        <v>1234411.1519999998</v>
      </c>
      <c r="BT36" s="219">
        <f t="shared" si="19"/>
        <v>171587.598</v>
      </c>
      <c r="BU36" s="219">
        <f t="shared" si="19"/>
        <v>22058.546</v>
      </c>
      <c r="BV36" s="93">
        <f t="shared" si="19"/>
        <v>441028.593</v>
      </c>
      <c r="BW36" s="93">
        <f t="shared" si="19"/>
        <v>504241.95900000003</v>
      </c>
      <c r="BX36" s="93">
        <f t="shared" si="19"/>
        <v>1145252.5520000001</v>
      </c>
      <c r="BY36" s="219"/>
      <c r="BZ36" s="93">
        <f>SUM(BZ29:BZ35)</f>
        <v>199168.65199999997</v>
      </c>
      <c r="CA36" s="219">
        <f>SUM(CA29:CA35)</f>
        <v>37562.653999999995</v>
      </c>
      <c r="CB36" s="219">
        <f>SUM(CB29:CB35)</f>
        <v>161605.998</v>
      </c>
      <c r="CC36" s="93">
        <f>SUM(CC29:CC35)</f>
        <v>184365.315</v>
      </c>
      <c r="CD36" s="93">
        <f>SUM(CD29:CD35)</f>
        <v>550794.135</v>
      </c>
      <c r="CE36" s="219"/>
      <c r="CF36" s="93">
        <f aca="true" t="shared" si="20" ref="CF36:CP36">SUM(CF29:CF35)</f>
        <v>169823.811</v>
      </c>
      <c r="CG36" s="93">
        <f t="shared" si="20"/>
        <v>241217</v>
      </c>
      <c r="CH36" s="93">
        <f t="shared" si="20"/>
        <v>168886.564</v>
      </c>
      <c r="CI36" s="93">
        <f t="shared" si="20"/>
        <v>166846.50199999998</v>
      </c>
      <c r="CJ36" s="93">
        <f t="shared" si="20"/>
        <v>133201.987</v>
      </c>
      <c r="CK36" s="93">
        <f t="shared" si="20"/>
        <v>136568.449</v>
      </c>
      <c r="CL36" s="93">
        <f t="shared" si="20"/>
        <v>43879.6</v>
      </c>
      <c r="CM36" s="93">
        <f t="shared" si="20"/>
        <v>54173.178</v>
      </c>
      <c r="CN36" s="93">
        <f t="shared" si="20"/>
        <v>67458.545</v>
      </c>
      <c r="CO36" s="93">
        <f t="shared" si="20"/>
        <v>0</v>
      </c>
      <c r="CP36" s="93">
        <f t="shared" si="20"/>
        <v>0</v>
      </c>
      <c r="CQ36" s="219"/>
      <c r="CR36" s="93">
        <f>SUM(CR29:CR35)</f>
        <v>0</v>
      </c>
      <c r="CS36" s="93">
        <f>SUM(CS29:CS35)</f>
        <v>0</v>
      </c>
      <c r="CT36" s="93"/>
      <c r="CV36" s="93">
        <f t="shared" si="1"/>
        <v>146476550.4102999</v>
      </c>
      <c r="CW36" s="93"/>
      <c r="CX36" s="93">
        <f t="shared" si="2"/>
        <v>24412179.51</v>
      </c>
      <c r="CY36" s="93">
        <f t="shared" si="3"/>
        <v>122064370.9003</v>
      </c>
      <c r="CZ36" s="93"/>
      <c r="DA36" s="210">
        <f t="shared" si="4"/>
        <v>0</v>
      </c>
    </row>
    <row r="37" spans="1:105" ht="8.25" customHeight="1">
      <c r="A37" s="319"/>
      <c r="CV37" s="93"/>
      <c r="CW37" s="93"/>
      <c r="CX37" s="93"/>
      <c r="CY37" s="93"/>
      <c r="DA37" s="210">
        <f t="shared" si="4"/>
        <v>0</v>
      </c>
    </row>
    <row r="38" spans="1:105" ht="12.75">
      <c r="A38" s="199" t="s">
        <v>508</v>
      </c>
      <c r="B38" s="93">
        <f aca="true" t="shared" si="21" ref="B38:O38">B26-B36</f>
        <v>87783.15899999626</v>
      </c>
      <c r="C38" s="219"/>
      <c r="D38" s="93">
        <f>D26-D36-1</f>
        <v>-794885</v>
      </c>
      <c r="E38" s="219">
        <f>E26-E36-1</f>
        <v>-648397</v>
      </c>
      <c r="F38" s="219">
        <f t="shared" si="21"/>
        <v>-179722</v>
      </c>
      <c r="G38" s="219">
        <f t="shared" si="21"/>
        <v>26091</v>
      </c>
      <c r="H38" s="219">
        <f t="shared" si="21"/>
        <v>6258</v>
      </c>
      <c r="I38" s="219">
        <f t="shared" si="21"/>
        <v>886</v>
      </c>
      <c r="J38" s="93">
        <f t="shared" si="21"/>
        <v>47587.56400000118</v>
      </c>
      <c r="K38" s="219"/>
      <c r="L38" s="93">
        <f t="shared" si="21"/>
        <v>-630131.6970000006</v>
      </c>
      <c r="M38" s="219">
        <f t="shared" si="21"/>
        <v>-629995.1419999953</v>
      </c>
      <c r="N38" s="219">
        <f t="shared" si="21"/>
        <v>0</v>
      </c>
      <c r="O38" s="219">
        <f t="shared" si="21"/>
        <v>-136.5550000000003</v>
      </c>
      <c r="P38" s="93">
        <f>P26-P36</f>
        <v>-234098.2530000005</v>
      </c>
      <c r="Q38" s="219">
        <f>Q26-Q36</f>
        <v>-462.0819999999999</v>
      </c>
      <c r="R38" s="93">
        <f>R26-R36</f>
        <v>-37164.45300000068</v>
      </c>
      <c r="S38" s="219"/>
      <c r="T38" s="93">
        <f>T26-T36</f>
        <v>14744.226000000257</v>
      </c>
      <c r="U38" s="219"/>
      <c r="V38" s="93">
        <f>V26-V36</f>
        <v>-175220.17700000014</v>
      </c>
      <c r="W38" s="219"/>
      <c r="X38" s="219"/>
      <c r="Y38" s="93">
        <f>Y26-Y36</f>
        <v>60445.56399999978</v>
      </c>
      <c r="Z38" s="219"/>
      <c r="AA38" s="93">
        <f>AA26-AA36</f>
        <v>-5944.493999999948</v>
      </c>
      <c r="AB38" s="219"/>
      <c r="AC38" s="93">
        <f aca="true" t="shared" si="22" ref="AC38:AK38">AC26-AC36</f>
        <v>-231811.402999999</v>
      </c>
      <c r="AD38" s="93">
        <f t="shared" si="22"/>
        <v>27204.296999999788</v>
      </c>
      <c r="AE38" s="219">
        <f t="shared" si="22"/>
        <v>0</v>
      </c>
      <c r="AF38" s="93">
        <f t="shared" si="22"/>
        <v>-18898</v>
      </c>
      <c r="AG38" s="93">
        <f t="shared" si="22"/>
        <v>58176.277000000235</v>
      </c>
      <c r="AH38" s="93">
        <f t="shared" si="22"/>
        <v>-146041.7720000008</v>
      </c>
      <c r="AI38" s="93">
        <f t="shared" si="22"/>
        <v>9241.477000000188</v>
      </c>
      <c r="AJ38" s="219">
        <f t="shared" si="22"/>
        <v>0</v>
      </c>
      <c r="AK38" s="93">
        <f t="shared" si="22"/>
        <v>-67150.25600000005</v>
      </c>
      <c r="AL38" s="219"/>
      <c r="AM38" s="93">
        <f>AM26-AM36</f>
        <v>35085.857000000775</v>
      </c>
      <c r="AN38" s="219"/>
      <c r="AO38" s="93">
        <f>AO26-AO36</f>
        <v>-29795.519999999553</v>
      </c>
      <c r="AP38" s="219"/>
      <c r="AQ38" s="93">
        <f>AQ26-AQ36</f>
        <v>-155073.2589999996</v>
      </c>
      <c r="AR38" s="93">
        <f>AR26-AR36</f>
        <v>21058.945000000065</v>
      </c>
      <c r="AS38" s="219"/>
      <c r="AT38" s="93">
        <f>AT26-AT36</f>
        <v>572829.5009999999</v>
      </c>
      <c r="AU38" s="219"/>
      <c r="AV38" s="93">
        <f>AV26-AV36</f>
        <v>-9432</v>
      </c>
      <c r="AW38" s="219"/>
      <c r="AX38" s="93">
        <f>AX26-AX36</f>
        <v>115210.99499999988</v>
      </c>
      <c r="AY38" s="93">
        <f>AY26-AY36</f>
        <v>-10001.924000000115</v>
      </c>
      <c r="AZ38" s="219"/>
      <c r="BA38" s="93">
        <f>BA26-BA36</f>
        <v>116148.78500000015</v>
      </c>
      <c r="BB38" s="93">
        <f>BB26-BB36</f>
        <v>10246.678999999538</v>
      </c>
      <c r="BC38" s="219"/>
      <c r="BD38" s="93">
        <f>BD26-BD36</f>
        <v>-110963.09530000016</v>
      </c>
      <c r="BE38" s="219"/>
      <c r="BF38" s="93">
        <f>BF26-BF36</f>
        <v>-128895.25600000005</v>
      </c>
      <c r="BG38" s="219"/>
      <c r="BH38" s="93">
        <f aca="true" t="shared" si="23" ref="BH38:BU38">BH26-BH36</f>
        <v>36766.37500000006</v>
      </c>
      <c r="BI38" s="219"/>
      <c r="BJ38" s="93">
        <f t="shared" si="23"/>
        <v>101465.79999999981</v>
      </c>
      <c r="BK38" s="93">
        <f t="shared" si="23"/>
        <v>3760.4150000000373</v>
      </c>
      <c r="BL38" s="219">
        <f t="shared" si="23"/>
        <v>3230.518000000011</v>
      </c>
      <c r="BM38" s="219">
        <f t="shared" si="23"/>
        <v>529.8969999999972</v>
      </c>
      <c r="BN38" s="93">
        <f t="shared" si="23"/>
        <v>-6690.701000000001</v>
      </c>
      <c r="BO38" s="93">
        <f t="shared" si="23"/>
        <v>-6906.436000000103</v>
      </c>
      <c r="BP38" s="93">
        <f t="shared" si="23"/>
        <v>-54914.93499999982</v>
      </c>
      <c r="BQ38" s="93">
        <f t="shared" si="23"/>
        <v>-16393.41499999995</v>
      </c>
      <c r="BR38" s="93">
        <f t="shared" si="23"/>
        <v>21184.982000000076</v>
      </c>
      <c r="BS38" s="219">
        <f t="shared" si="23"/>
        <v>17954.104000000283</v>
      </c>
      <c r="BT38" s="219">
        <f t="shared" si="23"/>
        <v>1397.8959999999788</v>
      </c>
      <c r="BU38" s="219">
        <f t="shared" si="23"/>
        <v>1832.9850000000042</v>
      </c>
      <c r="BV38" s="93">
        <f>BV26-BV36</f>
        <v>-5840.590999999957</v>
      </c>
      <c r="BW38" s="93">
        <f>BW26-BW36</f>
        <v>-67148.57400000002</v>
      </c>
      <c r="BX38" s="93">
        <f>BX26-BX36</f>
        <v>87687.79700000002</v>
      </c>
      <c r="BY38" s="219"/>
      <c r="BZ38" s="93">
        <f>BZ26-BZ36</f>
        <v>25499.088000000076</v>
      </c>
      <c r="CA38" s="219">
        <f>CA26-CA36</f>
        <v>5956.414000000004</v>
      </c>
      <c r="CB38" s="219">
        <f>CB26-CB36</f>
        <v>19542.674000000028</v>
      </c>
      <c r="CC38" s="93">
        <f>CC26-CC36</f>
        <v>-368.966000000044</v>
      </c>
      <c r="CD38" s="93">
        <f>CD26-CD36</f>
        <v>-1597.530999999959</v>
      </c>
      <c r="CE38" s="219"/>
      <c r="CF38" s="93">
        <f aca="true" t="shared" si="24" ref="CF38:CP38">CF26-CF36</f>
        <v>-7393.874000000011</v>
      </c>
      <c r="CG38" s="93">
        <f t="shared" si="24"/>
        <v>868.2149999999674</v>
      </c>
      <c r="CH38" s="93">
        <f t="shared" si="24"/>
        <v>-530.4550000000163</v>
      </c>
      <c r="CI38" s="93">
        <f t="shared" si="24"/>
        <v>502.6270000000077</v>
      </c>
      <c r="CJ38" s="93">
        <f t="shared" si="24"/>
        <v>-10328.881999999998</v>
      </c>
      <c r="CK38" s="93">
        <f t="shared" si="24"/>
        <v>-851.0989999999874</v>
      </c>
      <c r="CL38" s="93">
        <f t="shared" si="24"/>
        <v>-7278.4779999999955</v>
      </c>
      <c r="CM38" s="93">
        <f t="shared" si="24"/>
        <v>-33.06899999998859</v>
      </c>
      <c r="CN38" s="93">
        <f t="shared" si="24"/>
        <v>-55565.301999999996</v>
      </c>
      <c r="CO38" s="93">
        <f t="shared" si="24"/>
        <v>-16933.531999999992</v>
      </c>
      <c r="CP38" s="93">
        <f t="shared" si="24"/>
        <v>6691.596000000001</v>
      </c>
      <c r="CQ38" s="219"/>
      <c r="CR38" s="93">
        <f>CR26-CR36</f>
        <v>2206.719999999994</v>
      </c>
      <c r="CS38" s="93">
        <f>CS26-CS36</f>
        <v>299.02199999999993</v>
      </c>
      <c r="CT38" s="93"/>
      <c r="CV38" s="93">
        <f t="shared" si="1"/>
        <v>-1581586.436300003</v>
      </c>
      <c r="CW38" s="93"/>
      <c r="CX38" s="93">
        <f t="shared" si="2"/>
        <v>-962827.3879999998</v>
      </c>
      <c r="CY38" s="93">
        <f t="shared" si="3"/>
        <v>-618759.0483000035</v>
      </c>
      <c r="CZ38" s="93"/>
      <c r="DA38" s="210">
        <f t="shared" si="4"/>
        <v>0</v>
      </c>
    </row>
    <row r="39" spans="1:105" ht="8.25" customHeight="1">
      <c r="A39" s="319"/>
      <c r="CV39" s="93"/>
      <c r="CW39" s="93"/>
      <c r="CX39" s="93"/>
      <c r="CY39" s="93"/>
      <c r="DA39" s="210">
        <f t="shared" si="4"/>
        <v>0</v>
      </c>
    </row>
    <row r="40" spans="1:105" ht="12.75">
      <c r="A40" s="199" t="s">
        <v>509</v>
      </c>
      <c r="B40" s="93">
        <f>314493.868+8621.288</f>
        <v>323115.156</v>
      </c>
      <c r="C40" s="219"/>
      <c r="D40" s="93">
        <v>1111952</v>
      </c>
      <c r="E40" s="219">
        <v>878935</v>
      </c>
      <c r="F40" s="219">
        <v>206852</v>
      </c>
      <c r="G40" s="219">
        <v>18968</v>
      </c>
      <c r="H40" s="219">
        <v>6930</v>
      </c>
      <c r="I40" s="219">
        <v>267</v>
      </c>
      <c r="J40" s="93">
        <v>212416.116</v>
      </c>
      <c r="K40" s="219"/>
      <c r="L40" s="93">
        <v>769122.388</v>
      </c>
      <c r="M40" s="219">
        <f>+L40-N40</f>
        <v>769122.388</v>
      </c>
      <c r="N40" s="219">
        <v>0</v>
      </c>
      <c r="O40" s="219">
        <v>0</v>
      </c>
      <c r="P40" s="93">
        <v>333248.097</v>
      </c>
      <c r="Q40" s="219">
        <v>690.473</v>
      </c>
      <c r="R40" s="93">
        <v>103997.022</v>
      </c>
      <c r="S40" s="219"/>
      <c r="T40" s="93">
        <f>37620.786+1964.7</f>
        <v>39585.486</v>
      </c>
      <c r="U40" s="219"/>
      <c r="V40" s="93">
        <v>774859.136</v>
      </c>
      <c r="W40" s="219"/>
      <c r="X40" s="219"/>
      <c r="Y40" s="93">
        <v>70490.741</v>
      </c>
      <c r="Z40" s="219"/>
      <c r="AA40" s="93">
        <v>124529.861</v>
      </c>
      <c r="AB40" s="219"/>
      <c r="AC40" s="93">
        <v>90533.802</v>
      </c>
      <c r="AD40" s="93">
        <v>23860.358</v>
      </c>
      <c r="AE40" s="219">
        <v>0</v>
      </c>
      <c r="AF40" s="93">
        <v>33179</v>
      </c>
      <c r="AG40" s="93">
        <v>60044.726</v>
      </c>
      <c r="AH40" s="93">
        <v>455843.969</v>
      </c>
      <c r="AI40" s="93">
        <v>6602.22</v>
      </c>
      <c r="AJ40" s="219">
        <v>0</v>
      </c>
      <c r="AK40" s="93">
        <v>141449.186</v>
      </c>
      <c r="AL40" s="219"/>
      <c r="AM40" s="93">
        <v>88861.911</v>
      </c>
      <c r="AN40" s="219"/>
      <c r="AO40" s="93">
        <v>86012.547</v>
      </c>
      <c r="AP40" s="219"/>
      <c r="AQ40" s="93">
        <v>149723.764</v>
      </c>
      <c r="AR40" s="93">
        <v>263499.935</v>
      </c>
      <c r="AS40" s="219"/>
      <c r="AT40" s="93">
        <v>27761.227</v>
      </c>
      <c r="AU40" s="219"/>
      <c r="AV40" s="93">
        <v>34901</v>
      </c>
      <c r="AW40" s="219"/>
      <c r="AX40" s="93">
        <v>23860.262</v>
      </c>
      <c r="AY40" s="93">
        <v>21803.818</v>
      </c>
      <c r="AZ40" s="219"/>
      <c r="BA40" s="93">
        <v>21219.487</v>
      </c>
      <c r="BB40" s="93">
        <v>2752.969</v>
      </c>
      <c r="BC40" s="219"/>
      <c r="BD40" s="93">
        <v>635939.699</v>
      </c>
      <c r="BE40" s="219"/>
      <c r="BF40" s="93">
        <v>141691.105</v>
      </c>
      <c r="BG40" s="219"/>
      <c r="BH40" s="93">
        <v>42101.787</v>
      </c>
      <c r="BI40" s="219"/>
      <c r="BJ40" s="93">
        <v>3018.008</v>
      </c>
      <c r="BK40" s="93">
        <v>1720.848</v>
      </c>
      <c r="BL40" s="219">
        <v>1517.685</v>
      </c>
      <c r="BM40" s="219">
        <v>203.163</v>
      </c>
      <c r="BN40" s="93">
        <v>7619.566</v>
      </c>
      <c r="BO40" s="93">
        <v>8265.917</v>
      </c>
      <c r="BP40" s="93">
        <v>79926.198</v>
      </c>
      <c r="BQ40" s="93">
        <v>384243.659</v>
      </c>
      <c r="BR40" s="93">
        <v>30635.311</v>
      </c>
      <c r="BS40" s="219">
        <v>25475.627</v>
      </c>
      <c r="BT40" s="219">
        <v>4601.855</v>
      </c>
      <c r="BU40" s="219">
        <v>557.829</v>
      </c>
      <c r="BV40" s="93">
        <v>3215.458</v>
      </c>
      <c r="BW40" s="93">
        <v>76706.521</v>
      </c>
      <c r="BX40" s="93">
        <v>25543.756</v>
      </c>
      <c r="BY40" s="219"/>
      <c r="BZ40" s="93">
        <v>10297.865</v>
      </c>
      <c r="CA40" s="219">
        <v>469.806</v>
      </c>
      <c r="CB40" s="219">
        <v>9828.059</v>
      </c>
      <c r="CC40" s="93">
        <v>2069.299</v>
      </c>
      <c r="CD40" s="93">
        <v>3730.703</v>
      </c>
      <c r="CE40" s="219"/>
      <c r="CF40" s="93">
        <v>10262.626</v>
      </c>
      <c r="CG40" s="93">
        <v>3102.195</v>
      </c>
      <c r="CH40" s="93">
        <v>593.562</v>
      </c>
      <c r="CI40" s="93">
        <v>43.258</v>
      </c>
      <c r="CJ40" s="93">
        <v>43945.674</v>
      </c>
      <c r="CK40" s="93">
        <v>1255.948</v>
      </c>
      <c r="CL40" s="93">
        <v>23216.055</v>
      </c>
      <c r="CM40" s="93">
        <v>19027.539</v>
      </c>
      <c r="CN40" s="93">
        <v>58456.396</v>
      </c>
      <c r="CO40" s="93">
        <v>42909.156</v>
      </c>
      <c r="CP40" s="93">
        <v>2111.334</v>
      </c>
      <c r="CQ40" s="219"/>
      <c r="CR40" s="93">
        <v>2637.268</v>
      </c>
      <c r="CS40" s="93">
        <v>744.248</v>
      </c>
      <c r="CT40" s="93"/>
      <c r="CV40" s="93">
        <f t="shared" si="1"/>
        <v>7060257.142999998</v>
      </c>
      <c r="CW40" s="93"/>
      <c r="CX40" s="93">
        <f t="shared" si="2"/>
        <v>1570293.8889999997</v>
      </c>
      <c r="CY40" s="93">
        <f t="shared" si="3"/>
        <v>5489963.254</v>
      </c>
      <c r="CZ40" s="93"/>
      <c r="DA40" s="210">
        <f t="shared" si="4"/>
        <v>0</v>
      </c>
    </row>
    <row r="41" spans="1:105" ht="7.5" customHeight="1">
      <c r="A41" s="319"/>
      <c r="CV41" s="93"/>
      <c r="CW41" s="93"/>
      <c r="CX41" s="93"/>
      <c r="CY41" s="93"/>
      <c r="DA41" s="210">
        <f t="shared" si="4"/>
        <v>0</v>
      </c>
    </row>
    <row r="42" spans="1:105" ht="12.75">
      <c r="A42" s="205" t="s">
        <v>510</v>
      </c>
      <c r="B42" s="93">
        <f>B38+B40</f>
        <v>410898.3149999963</v>
      </c>
      <c r="C42" s="219"/>
      <c r="D42" s="93">
        <f>D38+D40</f>
        <v>317067</v>
      </c>
      <c r="E42" s="219">
        <f>E38+E40</f>
        <v>230538</v>
      </c>
      <c r="F42" s="219">
        <f>F38+F40</f>
        <v>27130</v>
      </c>
      <c r="G42" s="219">
        <f>G38+G40</f>
        <v>45059</v>
      </c>
      <c r="H42" s="219">
        <f>H38+H40-1</f>
        <v>13187</v>
      </c>
      <c r="I42" s="219">
        <f>I38+I40-1</f>
        <v>1152</v>
      </c>
      <c r="J42" s="93">
        <f aca="true" t="shared" si="25" ref="J42:V42">J38+J40</f>
        <v>260003.6800000012</v>
      </c>
      <c r="K42" s="219"/>
      <c r="L42" s="93">
        <f t="shared" si="25"/>
        <v>138990.6909999994</v>
      </c>
      <c r="M42" s="219">
        <f t="shared" si="25"/>
        <v>139127.2460000047</v>
      </c>
      <c r="N42" s="219">
        <f t="shared" si="25"/>
        <v>0</v>
      </c>
      <c r="O42" s="219">
        <f t="shared" si="25"/>
        <v>-136.5550000000003</v>
      </c>
      <c r="P42" s="93">
        <f t="shared" si="25"/>
        <v>99149.84399999952</v>
      </c>
      <c r="Q42" s="219">
        <f t="shared" si="25"/>
        <v>228.39100000000008</v>
      </c>
      <c r="R42" s="93">
        <f t="shared" si="25"/>
        <v>66832.56899999932</v>
      </c>
      <c r="S42" s="219"/>
      <c r="T42" s="93">
        <f t="shared" si="25"/>
        <v>54329.712000000254</v>
      </c>
      <c r="U42" s="219"/>
      <c r="V42" s="93">
        <f t="shared" si="25"/>
        <v>599638.9589999999</v>
      </c>
      <c r="W42" s="219"/>
      <c r="X42" s="219"/>
      <c r="Y42" s="93">
        <f aca="true" t="shared" si="26" ref="Y42:BV42">Y38+Y40</f>
        <v>130936.30499999977</v>
      </c>
      <c r="Z42" s="219"/>
      <c r="AA42" s="93">
        <f t="shared" si="26"/>
        <v>118585.36700000006</v>
      </c>
      <c r="AB42" s="219"/>
      <c r="AC42" s="93">
        <f t="shared" si="26"/>
        <v>-141277.600999999</v>
      </c>
      <c r="AD42" s="93">
        <f t="shared" si="26"/>
        <v>51064.65499999979</v>
      </c>
      <c r="AE42" s="219">
        <f t="shared" si="26"/>
        <v>0</v>
      </c>
      <c r="AF42" s="93">
        <f t="shared" si="26"/>
        <v>14281</v>
      </c>
      <c r="AG42" s="93">
        <f t="shared" si="26"/>
        <v>118221.00300000023</v>
      </c>
      <c r="AH42" s="93">
        <f t="shared" si="26"/>
        <v>309802.19699999917</v>
      </c>
      <c r="AI42" s="93">
        <f t="shared" si="26"/>
        <v>15843.69700000019</v>
      </c>
      <c r="AJ42" s="219">
        <f t="shared" si="26"/>
        <v>0</v>
      </c>
      <c r="AK42" s="93">
        <f t="shared" si="26"/>
        <v>74298.92999999993</v>
      </c>
      <c r="AL42" s="219"/>
      <c r="AM42" s="93">
        <f t="shared" si="26"/>
        <v>123947.76800000077</v>
      </c>
      <c r="AN42" s="219"/>
      <c r="AO42" s="93">
        <f t="shared" si="26"/>
        <v>56217.02700000045</v>
      </c>
      <c r="AP42" s="219"/>
      <c r="AQ42" s="93">
        <f t="shared" si="26"/>
        <v>-5349.494999999617</v>
      </c>
      <c r="AR42" s="93">
        <f t="shared" si="26"/>
        <v>284558.88000000006</v>
      </c>
      <c r="AS42" s="219"/>
      <c r="AT42" s="93">
        <f t="shared" si="26"/>
        <v>600590.7279999999</v>
      </c>
      <c r="AU42" s="219"/>
      <c r="AV42" s="93">
        <f t="shared" si="26"/>
        <v>25469</v>
      </c>
      <c r="AW42" s="219"/>
      <c r="AX42" s="93">
        <f t="shared" si="26"/>
        <v>139071.25699999987</v>
      </c>
      <c r="AY42" s="93">
        <f t="shared" si="26"/>
        <v>11801.893999999884</v>
      </c>
      <c r="AZ42" s="219"/>
      <c r="BA42" s="93">
        <f t="shared" si="26"/>
        <v>137368.27200000014</v>
      </c>
      <c r="BB42" s="93">
        <f t="shared" si="26"/>
        <v>12999.647999999539</v>
      </c>
      <c r="BC42" s="219"/>
      <c r="BD42" s="93">
        <f t="shared" si="26"/>
        <v>524976.6036999999</v>
      </c>
      <c r="BE42" s="219"/>
      <c r="BF42" s="93">
        <f t="shared" si="26"/>
        <v>12795.848999999958</v>
      </c>
      <c r="BG42" s="219"/>
      <c r="BH42" s="93">
        <f t="shared" si="26"/>
        <v>78868.16200000005</v>
      </c>
      <c r="BI42" s="219"/>
      <c r="BJ42" s="93">
        <f t="shared" si="26"/>
        <v>104483.80799999982</v>
      </c>
      <c r="BK42" s="93">
        <f t="shared" si="26"/>
        <v>5481.263000000037</v>
      </c>
      <c r="BL42" s="219">
        <f t="shared" si="26"/>
        <v>4748.20300000001</v>
      </c>
      <c r="BM42" s="219">
        <f t="shared" si="26"/>
        <v>733.0599999999972</v>
      </c>
      <c r="BN42" s="93">
        <f t="shared" si="26"/>
        <v>928.8649999999989</v>
      </c>
      <c r="BO42" s="93">
        <f t="shared" si="26"/>
        <v>1359.480999999896</v>
      </c>
      <c r="BP42" s="93">
        <f t="shared" si="26"/>
        <v>25011.26300000018</v>
      </c>
      <c r="BQ42" s="93">
        <f t="shared" si="26"/>
        <v>367850.24400000006</v>
      </c>
      <c r="BR42" s="93">
        <f t="shared" si="26"/>
        <v>51820.29300000008</v>
      </c>
      <c r="BS42" s="219">
        <f t="shared" si="26"/>
        <v>43429.73100000028</v>
      </c>
      <c r="BT42" s="219">
        <f t="shared" si="26"/>
        <v>5999.750999999978</v>
      </c>
      <c r="BU42" s="219">
        <f t="shared" si="26"/>
        <v>2390.814000000004</v>
      </c>
      <c r="BV42" s="93">
        <f t="shared" si="26"/>
        <v>-2625.1329999999566</v>
      </c>
      <c r="BW42" s="93">
        <f aca="true" t="shared" si="27" ref="BW42:CS42">BW38+BW40</f>
        <v>9557.946999999971</v>
      </c>
      <c r="BX42" s="93">
        <f t="shared" si="27"/>
        <v>113231.55300000001</v>
      </c>
      <c r="BY42" s="219"/>
      <c r="BZ42" s="93">
        <f t="shared" si="27"/>
        <v>35796.953000000074</v>
      </c>
      <c r="CA42" s="219">
        <f t="shared" si="27"/>
        <v>6426.220000000004</v>
      </c>
      <c r="CB42" s="219">
        <f t="shared" si="27"/>
        <v>29370.73300000003</v>
      </c>
      <c r="CC42" s="93">
        <f t="shared" si="27"/>
        <v>1700.332999999956</v>
      </c>
      <c r="CD42" s="93">
        <f t="shared" si="27"/>
        <v>2133.172000000041</v>
      </c>
      <c r="CE42" s="219"/>
      <c r="CF42" s="93">
        <f t="shared" si="27"/>
        <v>2868.7519999999895</v>
      </c>
      <c r="CG42" s="93">
        <f t="shared" si="27"/>
        <v>3970.4099999999676</v>
      </c>
      <c r="CH42" s="93">
        <f t="shared" si="27"/>
        <v>63.106999999983714</v>
      </c>
      <c r="CI42" s="93">
        <f t="shared" si="27"/>
        <v>545.8850000000077</v>
      </c>
      <c r="CJ42" s="93">
        <f t="shared" si="27"/>
        <v>33616.792</v>
      </c>
      <c r="CK42" s="93">
        <f t="shared" si="27"/>
        <v>404.84900000001267</v>
      </c>
      <c r="CL42" s="93">
        <f t="shared" si="27"/>
        <v>15937.577000000005</v>
      </c>
      <c r="CM42" s="93">
        <f t="shared" si="27"/>
        <v>18994.470000000012</v>
      </c>
      <c r="CN42" s="93">
        <f t="shared" si="27"/>
        <v>2891.0940000000046</v>
      </c>
      <c r="CO42" s="93">
        <f t="shared" si="27"/>
        <v>25975.62400000001</v>
      </c>
      <c r="CP42" s="93">
        <f t="shared" si="27"/>
        <v>8802.93</v>
      </c>
      <c r="CQ42" s="219"/>
      <c r="CR42" s="93">
        <f t="shared" si="27"/>
        <v>4843.987999999994</v>
      </c>
      <c r="CS42" s="93">
        <f t="shared" si="27"/>
        <v>1043.27</v>
      </c>
      <c r="CT42" s="93"/>
      <c r="CV42" s="93">
        <f t="shared" si="1"/>
        <v>5478670.706699995</v>
      </c>
      <c r="CW42" s="93"/>
      <c r="CX42" s="93">
        <f t="shared" si="2"/>
        <v>607466.5010000003</v>
      </c>
      <c r="CY42" s="93">
        <f t="shared" si="3"/>
        <v>4871204.205699996</v>
      </c>
      <c r="CZ42" s="93"/>
      <c r="DA42" s="210">
        <f t="shared" si="4"/>
        <v>0</v>
      </c>
    </row>
    <row r="43" spans="100:105" ht="12.75">
      <c r="CV43" s="93"/>
      <c r="CW43" s="93"/>
      <c r="CX43" s="93"/>
      <c r="CY43" s="93"/>
      <c r="DA43" s="210">
        <f t="shared" si="4"/>
        <v>0</v>
      </c>
    </row>
    <row r="44" spans="2:104" ht="12.75">
      <c r="B44" s="93"/>
      <c r="C44" s="219"/>
      <c r="D44" s="93"/>
      <c r="E44" s="219"/>
      <c r="F44" s="219"/>
      <c r="G44" s="219"/>
      <c r="H44" s="219"/>
      <c r="I44" s="219"/>
      <c r="J44" s="93"/>
      <c r="K44" s="219"/>
      <c r="L44" s="93"/>
      <c r="M44" s="219"/>
      <c r="N44" s="219"/>
      <c r="O44" s="219"/>
      <c r="P44" s="93"/>
      <c r="Q44" s="93"/>
      <c r="R44" s="93"/>
      <c r="S44" s="219"/>
      <c r="T44" s="93"/>
      <c r="U44" s="219"/>
      <c r="V44" s="93"/>
      <c r="W44" s="219"/>
      <c r="X44" s="219"/>
      <c r="Y44" s="93"/>
      <c r="Z44" s="219"/>
      <c r="AA44" s="93"/>
      <c r="AB44" s="219"/>
      <c r="AC44" s="93"/>
      <c r="AD44" s="93"/>
      <c r="AE44" s="219"/>
      <c r="AF44" s="93"/>
      <c r="AG44" s="93"/>
      <c r="AH44" s="93"/>
      <c r="AI44" s="93"/>
      <c r="AJ44" s="219"/>
      <c r="AK44" s="93"/>
      <c r="AL44" s="219"/>
      <c r="AM44" s="93"/>
      <c r="AN44" s="219"/>
      <c r="AO44" s="93"/>
      <c r="AP44" s="219"/>
      <c r="AQ44" s="93"/>
      <c r="AR44" s="93"/>
      <c r="AS44" s="219"/>
      <c r="AT44" s="93"/>
      <c r="AU44" s="219"/>
      <c r="AV44" s="93"/>
      <c r="AW44" s="219"/>
      <c r="AX44" s="93"/>
      <c r="AY44" s="93"/>
      <c r="AZ44" s="219"/>
      <c r="BA44" s="93"/>
      <c r="BB44" s="93"/>
      <c r="BC44" s="219"/>
      <c r="BD44" s="93"/>
      <c r="BE44" s="219"/>
      <c r="BF44" s="93"/>
      <c r="BG44" s="219"/>
      <c r="BH44" s="93"/>
      <c r="BI44" s="219"/>
      <c r="BJ44" s="93"/>
      <c r="BK44" s="93"/>
      <c r="BL44" s="219"/>
      <c r="BM44" s="219"/>
      <c r="BN44" s="93"/>
      <c r="BO44" s="93"/>
      <c r="BP44" s="93"/>
      <c r="BQ44" s="93"/>
      <c r="BR44" s="93"/>
      <c r="BS44" s="219"/>
      <c r="BT44" s="219"/>
      <c r="BU44" s="219"/>
      <c r="BV44" s="93"/>
      <c r="BW44" s="93"/>
      <c r="BX44" s="93"/>
      <c r="BY44" s="219"/>
      <c r="BZ44" s="93"/>
      <c r="CA44" s="219"/>
      <c r="CB44" s="219"/>
      <c r="CC44" s="93"/>
      <c r="CD44" s="93"/>
      <c r="CE44" s="219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219"/>
      <c r="CR44" s="93"/>
      <c r="CS44" s="93"/>
      <c r="CT44" s="93"/>
      <c r="CU44" s="93"/>
      <c r="CV44" s="93"/>
      <c r="CW44" s="93"/>
      <c r="CX44" s="93"/>
      <c r="CY44" s="93"/>
      <c r="CZ44" s="93"/>
    </row>
    <row r="45" spans="100:103" ht="12.75">
      <c r="CV45" s="93"/>
      <c r="CW45" s="93"/>
      <c r="CX45" s="93"/>
      <c r="CY45" s="93"/>
    </row>
    <row r="46" spans="101:103" ht="12.75">
      <c r="CW46" s="93"/>
      <c r="CX46" s="93"/>
      <c r="CY46" s="93"/>
    </row>
    <row r="47" spans="100:103" ht="12.75">
      <c r="CV47" s="93"/>
      <c r="CW47" s="93"/>
      <c r="CX47" s="93"/>
      <c r="CY47" s="93"/>
    </row>
    <row r="48" spans="100:103" ht="12.75">
      <c r="CV48" s="93"/>
      <c r="CW48" s="93"/>
      <c r="CX48" s="93"/>
      <c r="CY48" s="93"/>
    </row>
    <row r="49" spans="100:103" ht="12.75">
      <c r="CV49" s="93"/>
      <c r="CW49" s="93"/>
      <c r="CX49" s="93"/>
      <c r="CY49" s="93"/>
    </row>
    <row r="50" spans="100:103" ht="12.75">
      <c r="CV50" s="93"/>
      <c r="CW50" s="93"/>
      <c r="CX50" s="93"/>
      <c r="CY50" s="93"/>
    </row>
    <row r="51" spans="100:103" ht="12.75">
      <c r="CV51" s="93"/>
      <c r="CW51" s="93"/>
      <c r="CX51" s="93"/>
      <c r="CY51" s="93"/>
    </row>
    <row r="52" spans="100:103" ht="12.75">
      <c r="CV52" s="93"/>
      <c r="CW52" s="93"/>
      <c r="CX52" s="93"/>
      <c r="CY52" s="93"/>
    </row>
    <row r="53" spans="100:103" ht="12.75">
      <c r="CV53" s="93"/>
      <c r="CW53" s="93"/>
      <c r="CX53" s="93"/>
      <c r="CY53" s="93"/>
    </row>
    <row r="54" spans="100:103" ht="12.75">
      <c r="CV54" s="93"/>
      <c r="CW54" s="93"/>
      <c r="CX54" s="93"/>
      <c r="CY54" s="93"/>
    </row>
    <row r="55" spans="100:103" ht="12.75">
      <c r="CV55" s="93"/>
      <c r="CW55" s="93"/>
      <c r="CX55" s="93"/>
      <c r="CY55" s="93"/>
    </row>
    <row r="56" spans="100:103" ht="12.75">
      <c r="CV56" s="93"/>
      <c r="CW56" s="93"/>
      <c r="CX56" s="93"/>
      <c r="CY56" s="93"/>
    </row>
    <row r="57" spans="100:103" ht="12.75">
      <c r="CV57" s="93"/>
      <c r="CW57" s="93"/>
      <c r="CX57" s="93"/>
      <c r="CY57" s="93"/>
    </row>
    <row r="58" spans="100:103" ht="12.75">
      <c r="CV58" s="93"/>
      <c r="CW58" s="93"/>
      <c r="CX58" s="93"/>
      <c r="CY58" s="93"/>
    </row>
    <row r="59" spans="102:103" ht="12.75">
      <c r="CX59" s="93"/>
      <c r="CY59" s="93"/>
    </row>
    <row r="60" spans="100:103" ht="12.75">
      <c r="CV60" s="247"/>
      <c r="CW60" s="247"/>
      <c r="CX60" s="247"/>
      <c r="CY60" s="247"/>
    </row>
    <row r="61" spans="100:103" ht="12.75">
      <c r="CV61" s="247"/>
      <c r="CW61" s="247"/>
      <c r="CX61" s="247"/>
      <c r="CY61" s="247"/>
    </row>
    <row r="62" spans="100:103" ht="12.75">
      <c r="CV62" s="248"/>
      <c r="CW62" s="248"/>
      <c r="CX62" s="247"/>
      <c r="CY62" s="247"/>
    </row>
    <row r="63" spans="100:103" ht="12.75">
      <c r="CV63" s="93"/>
      <c r="CW63" s="93"/>
      <c r="CX63" s="93"/>
      <c r="CY63" s="93"/>
    </row>
    <row r="64" spans="100:103" ht="12.75">
      <c r="CV64" s="93"/>
      <c r="CW64" s="93"/>
      <c r="CX64" s="93"/>
      <c r="CY64" s="93"/>
    </row>
    <row r="65" spans="100:103" ht="12.75">
      <c r="CV65" s="93"/>
      <c r="CW65" s="93"/>
      <c r="CX65" s="93"/>
      <c r="CY65" s="93"/>
    </row>
    <row r="66" spans="100:103" ht="12">
      <c r="CV66" s="222"/>
      <c r="CW66" s="222"/>
      <c r="CX66" s="222"/>
      <c r="CY66" s="222"/>
    </row>
    <row r="67" spans="100:103" ht="12">
      <c r="CV67" s="222"/>
      <c r="CW67" s="222"/>
      <c r="CX67" s="222"/>
      <c r="CY67" s="222"/>
    </row>
    <row r="68" spans="100:103" ht="12">
      <c r="CV68" s="222"/>
      <c r="CW68" s="222"/>
      <c r="CX68" s="222"/>
      <c r="CY68" s="222"/>
    </row>
    <row r="69" spans="100:103" ht="12">
      <c r="CV69" s="222"/>
      <c r="CW69" s="222"/>
      <c r="CX69" s="222"/>
      <c r="CY69" s="222"/>
    </row>
    <row r="70" spans="100:103" ht="12">
      <c r="CV70" s="222"/>
      <c r="CW70" s="222"/>
      <c r="CX70" s="222"/>
      <c r="CY70" s="222"/>
    </row>
    <row r="71" spans="100:103" ht="12">
      <c r="CV71" s="222"/>
      <c r="CW71" s="222"/>
      <c r="CX71" s="222"/>
      <c r="CY71" s="222"/>
    </row>
    <row r="72" spans="100:103" ht="12">
      <c r="CV72" s="222"/>
      <c r="CW72" s="222"/>
      <c r="CX72" s="222"/>
      <c r="CY72" s="222"/>
    </row>
  </sheetData>
  <printOptions/>
  <pageMargins left="0.7480314960629921" right="0.35433070866141736" top="1.6535433070866143" bottom="0.984251968503937" header="0.7874015748031497" footer="0.5118110236220472"/>
  <pageSetup firstPageNumber="46" useFirstPageNumber="1" horizontalDpi="600" verticalDpi="600" orientation="portrait" paperSize="9" r:id="rId1"/>
  <headerFooter alignWithMargins="0">
    <oddHeader>&amp;C&amp;"Times New Roman,Bold"&amp;14 3.3. CASH FLOW 2000</oddHeader>
    <oddFooter>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HO88"/>
  <sheetViews>
    <sheetView workbookViewId="0" topLeftCell="A1">
      <pane xSplit="2" ySplit="5" topLeftCell="BU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9.00390625" defaultRowHeight="12.75"/>
  <cols>
    <col min="1" max="1" width="27.875" style="112" customWidth="1"/>
    <col min="2" max="2" width="3.875" style="112" customWidth="1"/>
    <col min="3" max="3" width="9.75390625" style="112" customWidth="1"/>
    <col min="4" max="4" width="7.875" style="32" customWidth="1"/>
    <col min="5" max="5" width="9.00390625" style="112" customWidth="1"/>
    <col min="6" max="7" width="7.875" style="32" customWidth="1"/>
    <col min="8" max="8" width="9.25390625" style="32" customWidth="1"/>
    <col min="9" max="9" width="8.75390625" style="32" customWidth="1"/>
    <col min="10" max="10" width="7.875" style="32" customWidth="1"/>
    <col min="11" max="11" width="9.50390625" style="112" customWidth="1"/>
    <col min="12" max="12" width="8.625" style="32" customWidth="1"/>
    <col min="13" max="13" width="9.375" style="112" customWidth="1"/>
    <col min="14" max="16" width="7.875" style="32" customWidth="1"/>
    <col min="17" max="17" width="9.00390625" style="112" customWidth="1"/>
    <col min="18" max="18" width="7.875" style="32" customWidth="1"/>
    <col min="19" max="19" width="9.00390625" style="112" customWidth="1"/>
    <col min="20" max="20" width="8.25390625" style="32" customWidth="1"/>
    <col min="21" max="21" width="9.00390625" style="112" customWidth="1"/>
    <col min="22" max="22" width="9.00390625" style="32" customWidth="1"/>
    <col min="23" max="23" width="9.00390625" style="112" customWidth="1"/>
    <col min="24" max="25" width="7.875" style="32" customWidth="1"/>
    <col min="26" max="26" width="9.00390625" style="112" customWidth="1"/>
    <col min="27" max="27" width="7.875" style="32" customWidth="1"/>
    <col min="28" max="28" width="9.375" style="112" customWidth="1"/>
    <col min="29" max="29" width="7.875" style="32" customWidth="1"/>
    <col min="30" max="31" width="9.00390625" style="112" customWidth="1"/>
    <col min="32" max="32" width="7.875" style="32" customWidth="1"/>
    <col min="33" max="36" width="9.00390625" style="112" customWidth="1"/>
    <col min="37" max="37" width="7.875" style="32" customWidth="1"/>
    <col min="38" max="38" width="9.00390625" style="112" customWidth="1"/>
    <col min="39" max="39" width="7.875" style="32" customWidth="1"/>
    <col min="40" max="40" width="9.00390625" style="112" customWidth="1"/>
    <col min="41" max="41" width="7.875" style="32" customWidth="1"/>
    <col min="42" max="42" width="9.00390625" style="112" customWidth="1"/>
    <col min="43" max="43" width="8.375" style="32" customWidth="1"/>
    <col min="44" max="45" width="9.00390625" style="112" customWidth="1"/>
    <col min="46" max="46" width="7.875" style="32" customWidth="1"/>
    <col min="47" max="47" width="9.50390625" style="112" customWidth="1"/>
    <col min="48" max="48" width="7.875" style="32" customWidth="1"/>
    <col min="49" max="49" width="9.00390625" style="112" customWidth="1"/>
    <col min="50" max="50" width="7.875" style="32" customWidth="1"/>
    <col min="51" max="51" width="9.00390625" style="112" customWidth="1"/>
    <col min="52" max="52" width="10.375" style="112" customWidth="1"/>
    <col min="53" max="53" width="8.75390625" style="32" customWidth="1"/>
    <col min="54" max="55" width="9.00390625" style="112" customWidth="1"/>
    <col min="56" max="56" width="7.875" style="32" customWidth="1"/>
    <col min="57" max="57" width="9.00390625" style="112" customWidth="1"/>
    <col min="58" max="58" width="7.875" style="32" customWidth="1"/>
    <col min="59" max="59" width="9.00390625" style="112" customWidth="1"/>
    <col min="60" max="60" width="7.875" style="32" customWidth="1"/>
    <col min="61" max="61" width="9.00390625" style="210" customWidth="1"/>
    <col min="62" max="62" width="7.875" style="32" customWidth="1"/>
    <col min="63" max="64" width="9.00390625" style="112" customWidth="1"/>
    <col min="65" max="66" width="7.875" style="32" customWidth="1"/>
    <col min="67" max="67" width="9.875" style="112" customWidth="1"/>
    <col min="68" max="68" width="9.75390625" style="112" customWidth="1"/>
    <col min="69" max="71" width="9.00390625" style="112" customWidth="1"/>
    <col min="72" max="74" width="7.875" style="32" customWidth="1"/>
    <col min="75" max="75" width="10.375" style="112" customWidth="1"/>
    <col min="76" max="76" width="11.25390625" style="112" customWidth="1"/>
    <col min="77" max="77" width="9.00390625" style="112" customWidth="1"/>
    <col min="78" max="78" width="7.875" style="32" customWidth="1"/>
    <col min="79" max="79" width="9.875" style="112" customWidth="1"/>
    <col min="80" max="80" width="8.375" style="32" customWidth="1"/>
    <col min="81" max="81" width="8.625" style="32" customWidth="1"/>
    <col min="82" max="83" width="9.00390625" style="112" customWidth="1"/>
    <col min="84" max="84" width="9.125" style="32" customWidth="1"/>
    <col min="85" max="86" width="9.00390625" style="112" customWidth="1"/>
    <col min="87" max="88" width="9.875" style="112" customWidth="1"/>
    <col min="89" max="89" width="9.75390625" style="112" customWidth="1"/>
    <col min="90" max="93" width="9.00390625" style="112" customWidth="1"/>
    <col min="94" max="94" width="10.75390625" style="112" customWidth="1"/>
    <col min="95" max="95" width="9.00390625" style="112" customWidth="1"/>
    <col min="96" max="96" width="7.875" style="32" customWidth="1"/>
    <col min="97" max="98" width="9.00390625" style="112" customWidth="1"/>
    <col min="99" max="99" width="9.625" style="112" customWidth="1"/>
    <col min="100" max="100" width="11.75390625" style="112" customWidth="1"/>
    <col min="101" max="101" width="4.75390625" style="112" customWidth="1"/>
    <col min="102" max="102" width="9.625" style="112" customWidth="1"/>
    <col min="103" max="104" width="10.00390625" style="112" customWidth="1"/>
    <col min="105" max="16384" width="9.00390625" style="112" customWidth="1"/>
  </cols>
  <sheetData>
    <row r="1" spans="1:105" ht="12.75">
      <c r="A1" s="189"/>
      <c r="B1" s="189"/>
      <c r="C1" s="190" t="s">
        <v>0</v>
      </c>
      <c r="D1" s="191" t="s">
        <v>0</v>
      </c>
      <c r="E1" s="190" t="s">
        <v>0</v>
      </c>
      <c r="F1" s="191" t="s">
        <v>0</v>
      </c>
      <c r="G1" s="191" t="s">
        <v>0</v>
      </c>
      <c r="H1" s="191" t="s">
        <v>0</v>
      </c>
      <c r="I1" s="191" t="s">
        <v>0</v>
      </c>
      <c r="J1" s="191" t="s">
        <v>0</v>
      </c>
      <c r="K1" s="190" t="s">
        <v>0</v>
      </c>
      <c r="L1" s="191" t="s">
        <v>0</v>
      </c>
      <c r="M1" s="190" t="s">
        <v>1</v>
      </c>
      <c r="N1" s="191" t="s">
        <v>1</v>
      </c>
      <c r="O1" s="191" t="s">
        <v>1</v>
      </c>
      <c r="P1" s="191" t="s">
        <v>1</v>
      </c>
      <c r="Q1" s="190" t="s">
        <v>0</v>
      </c>
      <c r="R1" s="191" t="s">
        <v>0</v>
      </c>
      <c r="S1" s="190" t="s">
        <v>0</v>
      </c>
      <c r="T1" s="191" t="s">
        <v>0</v>
      </c>
      <c r="U1" s="190" t="s">
        <v>2</v>
      </c>
      <c r="V1" s="191" t="s">
        <v>2</v>
      </c>
      <c r="W1" s="190" t="s">
        <v>0</v>
      </c>
      <c r="X1" s="191" t="s">
        <v>0</v>
      </c>
      <c r="Y1" s="191" t="s">
        <v>0</v>
      </c>
      <c r="Z1" s="190" t="s">
        <v>0</v>
      </c>
      <c r="AA1" s="191" t="s">
        <v>0</v>
      </c>
      <c r="AB1" s="190" t="s">
        <v>3</v>
      </c>
      <c r="AC1" s="191" t="s">
        <v>3</v>
      </c>
      <c r="AD1" s="190" t="s">
        <v>0</v>
      </c>
      <c r="AE1" s="190" t="s">
        <v>0</v>
      </c>
      <c r="AF1" s="191" t="s">
        <v>0</v>
      </c>
      <c r="AG1" s="190" t="s">
        <v>0</v>
      </c>
      <c r="AH1" s="190" t="s">
        <v>0</v>
      </c>
      <c r="AI1" s="190" t="s">
        <v>0</v>
      </c>
      <c r="AJ1" s="192" t="s">
        <v>0</v>
      </c>
      <c r="AK1" s="191" t="s">
        <v>0</v>
      </c>
      <c r="AL1" s="190" t="s">
        <v>0</v>
      </c>
      <c r="AM1" s="191" t="s">
        <v>0</v>
      </c>
      <c r="AN1" s="190" t="s">
        <v>5</v>
      </c>
      <c r="AO1" s="191" t="s">
        <v>5</v>
      </c>
      <c r="AP1" s="190" t="s">
        <v>7</v>
      </c>
      <c r="AQ1" s="191" t="s">
        <v>7</v>
      </c>
      <c r="AR1" s="190" t="s">
        <v>0</v>
      </c>
      <c r="AS1" s="190" t="s">
        <v>0</v>
      </c>
      <c r="AT1" s="191" t="s">
        <v>0</v>
      </c>
      <c r="AU1" s="190" t="s">
        <v>265</v>
      </c>
      <c r="AV1" s="191" t="s">
        <v>265</v>
      </c>
      <c r="AW1" s="190" t="s">
        <v>6</v>
      </c>
      <c r="AX1" s="191" t="s">
        <v>6</v>
      </c>
      <c r="AY1" s="190" t="s">
        <v>0</v>
      </c>
      <c r="AZ1" s="190" t="s">
        <v>0</v>
      </c>
      <c r="BA1" s="191" t="s">
        <v>0</v>
      </c>
      <c r="BB1" s="190" t="s">
        <v>0</v>
      </c>
      <c r="BC1" s="190" t="s">
        <v>8</v>
      </c>
      <c r="BD1" s="191" t="s">
        <v>8</v>
      </c>
      <c r="BE1" s="190" t="s">
        <v>0</v>
      </c>
      <c r="BF1" s="191" t="s">
        <v>0</v>
      </c>
      <c r="BG1" s="190" t="s">
        <v>6</v>
      </c>
      <c r="BH1" s="191" t="s">
        <v>6</v>
      </c>
      <c r="BI1" s="190" t="s">
        <v>0</v>
      </c>
      <c r="BJ1" s="191" t="s">
        <v>0</v>
      </c>
      <c r="BK1" s="190" t="s">
        <v>0</v>
      </c>
      <c r="BL1" s="190" t="s">
        <v>0</v>
      </c>
      <c r="BM1" s="191" t="s">
        <v>0</v>
      </c>
      <c r="BN1" s="191" t="s">
        <v>0</v>
      </c>
      <c r="BO1" s="190" t="s">
        <v>4</v>
      </c>
      <c r="BP1" s="190" t="s">
        <v>0</v>
      </c>
      <c r="BQ1" s="190" t="s">
        <v>0</v>
      </c>
      <c r="BR1" s="190" t="s">
        <v>0</v>
      </c>
      <c r="BS1" s="190" t="s">
        <v>0</v>
      </c>
      <c r="BT1" s="191" t="s">
        <v>0</v>
      </c>
      <c r="BU1" s="191" t="s">
        <v>0</v>
      </c>
      <c r="BV1" s="191" t="s">
        <v>0</v>
      </c>
      <c r="BW1" s="190" t="s">
        <v>4</v>
      </c>
      <c r="BX1" s="190" t="s">
        <v>0</v>
      </c>
      <c r="BY1" s="190" t="s">
        <v>50</v>
      </c>
      <c r="BZ1" s="191" t="s">
        <v>50</v>
      </c>
      <c r="CA1" s="190" t="s">
        <v>4</v>
      </c>
      <c r="CB1" s="191" t="s">
        <v>4</v>
      </c>
      <c r="CC1" s="191" t="s">
        <v>4</v>
      </c>
      <c r="CD1" s="190" t="s">
        <v>0</v>
      </c>
      <c r="CE1" s="190" t="s">
        <v>0</v>
      </c>
      <c r="CF1" s="191" t="s">
        <v>388</v>
      </c>
      <c r="CG1" s="190" t="s">
        <v>0</v>
      </c>
      <c r="CH1" s="190" t="s">
        <v>0</v>
      </c>
      <c r="CI1" s="190" t="s">
        <v>4</v>
      </c>
      <c r="CJ1" s="190" t="s">
        <v>4</v>
      </c>
      <c r="CK1" s="190" t="s">
        <v>4</v>
      </c>
      <c r="CL1" s="190" t="s">
        <v>0</v>
      </c>
      <c r="CM1" s="190" t="s">
        <v>6</v>
      </c>
      <c r="CN1" s="190" t="s">
        <v>0</v>
      </c>
      <c r="CO1" s="190" t="s">
        <v>0</v>
      </c>
      <c r="CP1" s="190" t="s">
        <v>4</v>
      </c>
      <c r="CQ1" s="190" t="s">
        <v>9</v>
      </c>
      <c r="CR1" s="191" t="s">
        <v>9</v>
      </c>
      <c r="CS1" s="190" t="s">
        <v>0</v>
      </c>
      <c r="CT1" s="190" t="s">
        <v>0</v>
      </c>
      <c r="CV1" s="190"/>
      <c r="CW1" s="190"/>
      <c r="CX1" s="190" t="s">
        <v>567</v>
      </c>
      <c r="CY1" s="190" t="s">
        <v>568</v>
      </c>
      <c r="CZ1" s="192"/>
      <c r="DA1" s="256"/>
    </row>
    <row r="2" spans="1:105" ht="12.75">
      <c r="A2" s="168"/>
      <c r="C2" s="190" t="s">
        <v>12</v>
      </c>
      <c r="D2" s="191" t="s">
        <v>12</v>
      </c>
      <c r="E2" s="190" t="s">
        <v>339</v>
      </c>
      <c r="F2" s="191" t="s">
        <v>339</v>
      </c>
      <c r="G2" s="191" t="s">
        <v>339</v>
      </c>
      <c r="H2" s="191" t="s">
        <v>339</v>
      </c>
      <c r="I2" s="191" t="s">
        <v>339</v>
      </c>
      <c r="J2" s="191" t="s">
        <v>339</v>
      </c>
      <c r="K2" s="190" t="s">
        <v>16</v>
      </c>
      <c r="L2" s="191" t="s">
        <v>16</v>
      </c>
      <c r="M2" s="190" t="s">
        <v>15</v>
      </c>
      <c r="N2" s="191" t="s">
        <v>15</v>
      </c>
      <c r="O2" s="191" t="s">
        <v>15</v>
      </c>
      <c r="P2" s="191" t="s">
        <v>15</v>
      </c>
      <c r="Q2" s="190" t="s">
        <v>13</v>
      </c>
      <c r="R2" s="191" t="s">
        <v>13</v>
      </c>
      <c r="S2" s="190" t="s">
        <v>17</v>
      </c>
      <c r="T2" s="191" t="s">
        <v>17</v>
      </c>
      <c r="U2" s="190" t="s">
        <v>15</v>
      </c>
      <c r="V2" s="191" t="s">
        <v>15</v>
      </c>
      <c r="W2" s="190" t="s">
        <v>273</v>
      </c>
      <c r="X2" s="191" t="s">
        <v>273</v>
      </c>
      <c r="Y2" s="191" t="s">
        <v>273</v>
      </c>
      <c r="Z2" s="190" t="s">
        <v>234</v>
      </c>
      <c r="AA2" s="191" t="s">
        <v>234</v>
      </c>
      <c r="AB2" s="190" t="s">
        <v>15</v>
      </c>
      <c r="AC2" s="191" t="s">
        <v>15</v>
      </c>
      <c r="AD2" s="190" t="s">
        <v>19</v>
      </c>
      <c r="AE2" s="190" t="s">
        <v>20</v>
      </c>
      <c r="AF2" s="191" t="s">
        <v>20</v>
      </c>
      <c r="AG2" s="190" t="s">
        <v>22</v>
      </c>
      <c r="AH2" s="190" t="s">
        <v>18</v>
      </c>
      <c r="AI2" s="190" t="s">
        <v>21</v>
      </c>
      <c r="AJ2" s="192" t="s">
        <v>284</v>
      </c>
      <c r="AK2" s="191" t="s">
        <v>284</v>
      </c>
      <c r="AL2" s="190" t="s">
        <v>23</v>
      </c>
      <c r="AM2" s="191" t="s">
        <v>23</v>
      </c>
      <c r="AN2" s="190" t="s">
        <v>15</v>
      </c>
      <c r="AO2" s="191" t="s">
        <v>15</v>
      </c>
      <c r="AP2" s="190" t="s">
        <v>30</v>
      </c>
      <c r="AQ2" s="191" t="s">
        <v>30</v>
      </c>
      <c r="AR2" s="190" t="s">
        <v>25</v>
      </c>
      <c r="AS2" s="190" t="s">
        <v>24</v>
      </c>
      <c r="AT2" s="191" t="s">
        <v>24</v>
      </c>
      <c r="AU2" s="190" t="s">
        <v>46</v>
      </c>
      <c r="AV2" s="191" t="s">
        <v>46</v>
      </c>
      <c r="AW2" s="190" t="s">
        <v>29</v>
      </c>
      <c r="AX2" s="191" t="s">
        <v>29</v>
      </c>
      <c r="AY2" s="190" t="s">
        <v>14</v>
      </c>
      <c r="AZ2" s="190" t="s">
        <v>275</v>
      </c>
      <c r="BA2" s="191" t="s">
        <v>275</v>
      </c>
      <c r="BB2" s="190" t="s">
        <v>71</v>
      </c>
      <c r="BC2" s="190" t="s">
        <v>15</v>
      </c>
      <c r="BD2" s="191" t="s">
        <v>15</v>
      </c>
      <c r="BE2" s="190" t="s">
        <v>26</v>
      </c>
      <c r="BF2" s="191" t="s">
        <v>26</v>
      </c>
      <c r="BG2" s="190" t="s">
        <v>29</v>
      </c>
      <c r="BH2" s="191" t="s">
        <v>29</v>
      </c>
      <c r="BI2" s="190" t="s">
        <v>27</v>
      </c>
      <c r="BJ2" s="191" t="s">
        <v>27</v>
      </c>
      <c r="BK2" s="190" t="s">
        <v>14</v>
      </c>
      <c r="BL2" s="190" t="s">
        <v>28</v>
      </c>
      <c r="BM2" s="191" t="s">
        <v>28</v>
      </c>
      <c r="BN2" s="191" t="s">
        <v>28</v>
      </c>
      <c r="BO2" s="190" t="s">
        <v>14</v>
      </c>
      <c r="BP2" s="190" t="s">
        <v>31</v>
      </c>
      <c r="BQ2" s="190" t="s">
        <v>32</v>
      </c>
      <c r="BR2" s="190" t="s">
        <v>33</v>
      </c>
      <c r="BS2" s="190" t="s">
        <v>14</v>
      </c>
      <c r="BT2" s="191" t="s">
        <v>14</v>
      </c>
      <c r="BU2" s="191" t="s">
        <v>14</v>
      </c>
      <c r="BV2" s="191" t="s">
        <v>14</v>
      </c>
      <c r="BW2" s="190" t="s">
        <v>34</v>
      </c>
      <c r="BX2" s="190" t="s">
        <v>36</v>
      </c>
      <c r="BY2" s="190" t="s">
        <v>15</v>
      </c>
      <c r="BZ2" s="191" t="s">
        <v>15</v>
      </c>
      <c r="CA2" s="190" t="s">
        <v>37</v>
      </c>
      <c r="CB2" s="191" t="s">
        <v>37</v>
      </c>
      <c r="CC2" s="191" t="s">
        <v>37</v>
      </c>
      <c r="CD2" s="190" t="s">
        <v>35</v>
      </c>
      <c r="CE2" s="190" t="s">
        <v>39</v>
      </c>
      <c r="CF2" s="191" t="s">
        <v>39</v>
      </c>
      <c r="CG2" s="190" t="s">
        <v>38</v>
      </c>
      <c r="CH2" s="190" t="s">
        <v>41</v>
      </c>
      <c r="CI2" s="190" t="s">
        <v>40</v>
      </c>
      <c r="CJ2" s="190" t="s">
        <v>42</v>
      </c>
      <c r="CK2" s="190" t="s">
        <v>260</v>
      </c>
      <c r="CL2" s="190" t="s">
        <v>14</v>
      </c>
      <c r="CM2" s="190" t="s">
        <v>29</v>
      </c>
      <c r="CN2" s="190" t="s">
        <v>43</v>
      </c>
      <c r="CO2" s="190" t="s">
        <v>45</v>
      </c>
      <c r="CP2" s="190" t="s">
        <v>44</v>
      </c>
      <c r="CQ2" s="190" t="s">
        <v>46</v>
      </c>
      <c r="CR2" s="191" t="s">
        <v>46</v>
      </c>
      <c r="CS2" s="190" t="s">
        <v>47</v>
      </c>
      <c r="CT2" s="190" t="s">
        <v>48</v>
      </c>
      <c r="CV2" s="190"/>
      <c r="CW2" s="190"/>
      <c r="CX2" s="190" t="s">
        <v>569</v>
      </c>
      <c r="CY2" s="190" t="s">
        <v>569</v>
      </c>
      <c r="CZ2" s="192"/>
      <c r="DA2" s="256"/>
    </row>
    <row r="3" spans="1:105" ht="12.75">
      <c r="A3" s="15"/>
      <c r="B3" s="189"/>
      <c r="C3" s="190" t="s">
        <v>51</v>
      </c>
      <c r="D3" s="251" t="s">
        <v>51</v>
      </c>
      <c r="E3" s="190" t="s">
        <v>346</v>
      </c>
      <c r="F3" s="194" t="s">
        <v>137</v>
      </c>
      <c r="G3" s="32" t="s">
        <v>137</v>
      </c>
      <c r="H3" s="194" t="s">
        <v>342</v>
      </c>
      <c r="I3" s="194" t="s">
        <v>344</v>
      </c>
      <c r="J3" s="194" t="s">
        <v>370</v>
      </c>
      <c r="K3" s="190" t="s">
        <v>137</v>
      </c>
      <c r="L3" s="194" t="s">
        <v>370</v>
      </c>
      <c r="M3" s="190" t="s">
        <v>29</v>
      </c>
      <c r="N3" s="191" t="s">
        <v>29</v>
      </c>
      <c r="O3" s="191" t="s">
        <v>29</v>
      </c>
      <c r="P3" s="251" t="s">
        <v>29</v>
      </c>
      <c r="Q3" s="190" t="s">
        <v>137</v>
      </c>
      <c r="R3" s="194" t="s">
        <v>370</v>
      </c>
      <c r="S3" s="190" t="s">
        <v>53</v>
      </c>
      <c r="T3" s="251" t="s">
        <v>53</v>
      </c>
      <c r="U3" s="190" t="s">
        <v>52</v>
      </c>
      <c r="V3" s="191" t="s">
        <v>52</v>
      </c>
      <c r="W3" s="190" t="s">
        <v>66</v>
      </c>
      <c r="X3" s="191" t="s">
        <v>66</v>
      </c>
      <c r="Y3" s="191" t="s">
        <v>66</v>
      </c>
      <c r="Z3" s="190" t="s">
        <v>137</v>
      </c>
      <c r="AA3" s="194" t="s">
        <v>370</v>
      </c>
      <c r="AB3" s="190" t="s">
        <v>29</v>
      </c>
      <c r="AC3" s="191" t="s">
        <v>29</v>
      </c>
      <c r="AD3" s="190" t="s">
        <v>53</v>
      </c>
      <c r="AE3" s="190" t="s">
        <v>54</v>
      </c>
      <c r="AF3" s="191" t="s">
        <v>54</v>
      </c>
      <c r="AG3" s="190" t="s">
        <v>137</v>
      </c>
      <c r="AH3" s="190" t="s">
        <v>137</v>
      </c>
      <c r="AI3" s="190" t="s">
        <v>55</v>
      </c>
      <c r="AJ3" s="192" t="s">
        <v>283</v>
      </c>
      <c r="AK3" s="191" t="s">
        <v>283</v>
      </c>
      <c r="AL3" s="190" t="s">
        <v>262</v>
      </c>
      <c r="AM3" s="191" t="s">
        <v>262</v>
      </c>
      <c r="AN3" s="190" t="s">
        <v>29</v>
      </c>
      <c r="AO3" s="191" t="s">
        <v>29</v>
      </c>
      <c r="AP3" s="190" t="s">
        <v>62</v>
      </c>
      <c r="AQ3" s="191" t="s">
        <v>62</v>
      </c>
      <c r="AR3" s="190" t="s">
        <v>193</v>
      </c>
      <c r="AS3" s="190" t="s">
        <v>53</v>
      </c>
      <c r="AT3" s="191" t="s">
        <v>53</v>
      </c>
      <c r="AU3" s="190" t="s">
        <v>266</v>
      </c>
      <c r="AV3" s="191" t="s">
        <v>266</v>
      </c>
      <c r="AW3" s="190" t="s">
        <v>77</v>
      </c>
      <c r="AX3" s="191" t="s">
        <v>77</v>
      </c>
      <c r="AY3" s="190" t="s">
        <v>285</v>
      </c>
      <c r="AZ3" s="190" t="s">
        <v>276</v>
      </c>
      <c r="BA3" s="191" t="s">
        <v>276</v>
      </c>
      <c r="BB3" s="190"/>
      <c r="BC3" s="190" t="s">
        <v>73</v>
      </c>
      <c r="BD3" s="191" t="s">
        <v>73</v>
      </c>
      <c r="BE3" s="190" t="s">
        <v>57</v>
      </c>
      <c r="BF3" s="191" t="s">
        <v>57</v>
      </c>
      <c r="BG3" s="190" t="s">
        <v>61</v>
      </c>
      <c r="BH3" s="191" t="s">
        <v>61</v>
      </c>
      <c r="BI3" s="190"/>
      <c r="BJ3" s="252" t="s">
        <v>370</v>
      </c>
      <c r="BK3" s="190" t="s">
        <v>58</v>
      </c>
      <c r="BL3" s="190" t="s">
        <v>59</v>
      </c>
      <c r="BM3" s="251" t="s">
        <v>59</v>
      </c>
      <c r="BN3" s="251" t="s">
        <v>59</v>
      </c>
      <c r="BO3" s="190" t="s">
        <v>60</v>
      </c>
      <c r="BP3" s="190" t="s">
        <v>63</v>
      </c>
      <c r="BQ3" s="190" t="s">
        <v>64</v>
      </c>
      <c r="BR3" s="190"/>
      <c r="BS3" s="190" t="s">
        <v>277</v>
      </c>
      <c r="BT3" s="191" t="s">
        <v>277</v>
      </c>
      <c r="BU3" s="191" t="s">
        <v>277</v>
      </c>
      <c r="BV3" s="191" t="s">
        <v>277</v>
      </c>
      <c r="BW3" s="190" t="s">
        <v>65</v>
      </c>
      <c r="BX3" s="190" t="s">
        <v>68</v>
      </c>
      <c r="BY3" s="190" t="s">
        <v>29</v>
      </c>
      <c r="BZ3" s="191" t="s">
        <v>29</v>
      </c>
      <c r="CA3" s="190" t="s">
        <v>280</v>
      </c>
      <c r="CB3" s="191" t="s">
        <v>280</v>
      </c>
      <c r="CC3" s="191" t="s">
        <v>280</v>
      </c>
      <c r="CD3" s="190" t="s">
        <v>67</v>
      </c>
      <c r="CE3" s="190" t="s">
        <v>56</v>
      </c>
      <c r="CF3" s="191" t="s">
        <v>63</v>
      </c>
      <c r="CG3" s="190" t="s">
        <v>70</v>
      </c>
      <c r="CH3" s="190" t="s">
        <v>69</v>
      </c>
      <c r="CI3" s="190" t="s">
        <v>71</v>
      </c>
      <c r="CJ3" s="190" t="s">
        <v>72</v>
      </c>
      <c r="CK3" s="190" t="s">
        <v>76</v>
      </c>
      <c r="CL3" s="190" t="s">
        <v>74</v>
      </c>
      <c r="CM3" s="190" t="s">
        <v>75</v>
      </c>
      <c r="CN3" s="190" t="s">
        <v>78</v>
      </c>
      <c r="CO3" s="190" t="s">
        <v>80</v>
      </c>
      <c r="CP3" s="190" t="s">
        <v>79</v>
      </c>
      <c r="CQ3" s="190" t="s">
        <v>81</v>
      </c>
      <c r="CR3" s="191" t="s">
        <v>81</v>
      </c>
      <c r="CS3" s="190" t="s">
        <v>82</v>
      </c>
      <c r="CT3" s="190" t="s">
        <v>83</v>
      </c>
      <c r="CV3" s="190" t="s">
        <v>574</v>
      </c>
      <c r="CW3" s="190"/>
      <c r="CX3" s="190" t="s">
        <v>570</v>
      </c>
      <c r="CY3" s="190" t="s">
        <v>570</v>
      </c>
      <c r="CZ3" s="192"/>
      <c r="DA3" s="256"/>
    </row>
    <row r="4" spans="1:105" ht="12.75">
      <c r="A4" s="39"/>
      <c r="B4" s="195"/>
      <c r="C4" s="196" t="s">
        <v>85</v>
      </c>
      <c r="D4" s="194" t="s">
        <v>370</v>
      </c>
      <c r="E4" s="196" t="s">
        <v>86</v>
      </c>
      <c r="F4" s="194" t="s">
        <v>340</v>
      </c>
      <c r="G4" s="194" t="s">
        <v>341</v>
      </c>
      <c r="H4" s="194" t="s">
        <v>343</v>
      </c>
      <c r="I4" s="194" t="s">
        <v>345</v>
      </c>
      <c r="J4" s="194" t="s">
        <v>345</v>
      </c>
      <c r="K4" s="196" t="s">
        <v>87</v>
      </c>
      <c r="L4" s="194" t="s">
        <v>345</v>
      </c>
      <c r="M4" s="196" t="s">
        <v>88</v>
      </c>
      <c r="N4" s="197" t="s">
        <v>348</v>
      </c>
      <c r="O4" s="197" t="s">
        <v>372</v>
      </c>
      <c r="P4" s="194" t="s">
        <v>370</v>
      </c>
      <c r="Q4" s="196" t="s">
        <v>89</v>
      </c>
      <c r="R4" s="194" t="s">
        <v>345</v>
      </c>
      <c r="S4" s="196" t="s">
        <v>90</v>
      </c>
      <c r="T4" s="194" t="s">
        <v>370</v>
      </c>
      <c r="U4" s="196" t="s">
        <v>91</v>
      </c>
      <c r="V4" s="194" t="s">
        <v>370</v>
      </c>
      <c r="W4" s="196" t="s">
        <v>92</v>
      </c>
      <c r="X4" s="197" t="s">
        <v>374</v>
      </c>
      <c r="Y4" s="197" t="s">
        <v>373</v>
      </c>
      <c r="Z4" s="196" t="s">
        <v>189</v>
      </c>
      <c r="AA4" s="194" t="s">
        <v>345</v>
      </c>
      <c r="AB4" s="196" t="s">
        <v>190</v>
      </c>
      <c r="AC4" s="197" t="s">
        <v>370</v>
      </c>
      <c r="AD4" s="196" t="s">
        <v>191</v>
      </c>
      <c r="AE4" s="196" t="s">
        <v>93</v>
      </c>
      <c r="AF4" s="197" t="s">
        <v>370</v>
      </c>
      <c r="AG4" s="196" t="s">
        <v>94</v>
      </c>
      <c r="AH4" s="196" t="s">
        <v>95</v>
      </c>
      <c r="AI4" s="196" t="s">
        <v>96</v>
      </c>
      <c r="AJ4" s="196" t="s">
        <v>97</v>
      </c>
      <c r="AK4" s="197" t="s">
        <v>370</v>
      </c>
      <c r="AL4" s="196" t="s">
        <v>98</v>
      </c>
      <c r="AM4" s="197" t="s">
        <v>370</v>
      </c>
      <c r="AN4" s="196" t="s">
        <v>99</v>
      </c>
      <c r="AO4" s="197" t="s">
        <v>370</v>
      </c>
      <c r="AP4" s="196" t="s">
        <v>100</v>
      </c>
      <c r="AQ4" s="197" t="s">
        <v>370</v>
      </c>
      <c r="AR4" s="196" t="s">
        <v>101</v>
      </c>
      <c r="AS4" s="196" t="s">
        <v>102</v>
      </c>
      <c r="AT4" s="197" t="s">
        <v>370</v>
      </c>
      <c r="AU4" s="196" t="s">
        <v>103</v>
      </c>
      <c r="AV4" s="197" t="s">
        <v>370</v>
      </c>
      <c r="AW4" s="196" t="s">
        <v>104</v>
      </c>
      <c r="AX4" s="197" t="s">
        <v>370</v>
      </c>
      <c r="AY4" s="196" t="s">
        <v>105</v>
      </c>
      <c r="AZ4" s="196" t="s">
        <v>106</v>
      </c>
      <c r="BA4" s="197" t="s">
        <v>370</v>
      </c>
      <c r="BB4" s="196" t="s">
        <v>305</v>
      </c>
      <c r="BC4" s="196" t="s">
        <v>107</v>
      </c>
      <c r="BD4" s="197" t="s">
        <v>370</v>
      </c>
      <c r="BE4" s="196" t="s">
        <v>108</v>
      </c>
      <c r="BF4" s="197" t="s">
        <v>370</v>
      </c>
      <c r="BG4" s="196" t="s">
        <v>109</v>
      </c>
      <c r="BH4" s="197" t="s">
        <v>370</v>
      </c>
      <c r="BI4" s="196" t="s">
        <v>110</v>
      </c>
      <c r="BJ4" s="197" t="s">
        <v>345</v>
      </c>
      <c r="BK4" s="196" t="s">
        <v>111</v>
      </c>
      <c r="BL4" s="196" t="s">
        <v>112</v>
      </c>
      <c r="BM4" s="197" t="s">
        <v>378</v>
      </c>
      <c r="BN4" s="197" t="s">
        <v>379</v>
      </c>
      <c r="BO4" s="196" t="s">
        <v>113</v>
      </c>
      <c r="BP4" s="196" t="s">
        <v>114</v>
      </c>
      <c r="BQ4" s="196" t="s">
        <v>115</v>
      </c>
      <c r="BR4" s="196" t="s">
        <v>116</v>
      </c>
      <c r="BS4" s="196" t="s">
        <v>367</v>
      </c>
      <c r="BT4" s="197" t="s">
        <v>341</v>
      </c>
      <c r="BU4" s="197" t="s">
        <v>375</v>
      </c>
      <c r="BV4" s="197" t="s">
        <v>370</v>
      </c>
      <c r="BW4" s="196" t="s">
        <v>117</v>
      </c>
      <c r="BX4" s="196" t="s">
        <v>118</v>
      </c>
      <c r="BY4" s="196" t="s">
        <v>119</v>
      </c>
      <c r="BZ4" s="197" t="s">
        <v>370</v>
      </c>
      <c r="CA4" s="196" t="s">
        <v>120</v>
      </c>
      <c r="CB4" s="197" t="s">
        <v>341</v>
      </c>
      <c r="CC4" s="197" t="s">
        <v>340</v>
      </c>
      <c r="CD4" s="196" t="s">
        <v>121</v>
      </c>
      <c r="CE4" s="196" t="s">
        <v>122</v>
      </c>
      <c r="CF4" s="197" t="s">
        <v>370</v>
      </c>
      <c r="CG4" s="196" t="s">
        <v>123</v>
      </c>
      <c r="CH4" s="196" t="s">
        <v>368</v>
      </c>
      <c r="CI4" s="196" t="s">
        <v>124</v>
      </c>
      <c r="CJ4" s="196" t="s">
        <v>125</v>
      </c>
      <c r="CK4" s="196" t="s">
        <v>126</v>
      </c>
      <c r="CL4" s="196" t="s">
        <v>127</v>
      </c>
      <c r="CM4" s="196" t="s">
        <v>128</v>
      </c>
      <c r="CN4" s="196" t="s">
        <v>129</v>
      </c>
      <c r="CO4" s="196" t="s">
        <v>130</v>
      </c>
      <c r="CP4" s="196" t="s">
        <v>195</v>
      </c>
      <c r="CQ4" s="196" t="s">
        <v>369</v>
      </c>
      <c r="CR4" s="197" t="s">
        <v>370</v>
      </c>
      <c r="CS4" s="196" t="s">
        <v>131</v>
      </c>
      <c r="CT4" s="196" t="s">
        <v>132</v>
      </c>
      <c r="CV4" s="198"/>
      <c r="CW4" s="198"/>
      <c r="CX4" s="198" t="s">
        <v>575</v>
      </c>
      <c r="CY4" s="198" t="s">
        <v>576</v>
      </c>
      <c r="CZ4" s="198"/>
      <c r="DA4" s="257"/>
    </row>
    <row r="5" spans="1:105" ht="12.75">
      <c r="A5" s="15"/>
      <c r="B5" s="199"/>
      <c r="C5" s="1"/>
      <c r="D5" s="194" t="s">
        <v>345</v>
      </c>
      <c r="E5" s="1"/>
      <c r="F5" s="169"/>
      <c r="G5" s="169"/>
      <c r="H5" s="169"/>
      <c r="I5" s="169"/>
      <c r="J5" s="169"/>
      <c r="K5" s="1"/>
      <c r="L5" s="169"/>
      <c r="M5" s="1"/>
      <c r="N5" s="169"/>
      <c r="O5" s="197" t="s">
        <v>345</v>
      </c>
      <c r="P5" s="194" t="s">
        <v>345</v>
      </c>
      <c r="Q5" s="1"/>
      <c r="R5" s="169"/>
      <c r="S5" s="1"/>
      <c r="T5" s="194" t="s">
        <v>345</v>
      </c>
      <c r="U5" s="1"/>
      <c r="V5" s="194" t="s">
        <v>345</v>
      </c>
      <c r="W5" s="1"/>
      <c r="X5" s="197" t="s">
        <v>345</v>
      </c>
      <c r="Y5" s="197" t="s">
        <v>345</v>
      </c>
      <c r="Z5" s="1"/>
      <c r="AA5" s="169"/>
      <c r="AB5" s="1"/>
      <c r="AC5" s="197" t="s">
        <v>345</v>
      </c>
      <c r="AD5" s="1"/>
      <c r="AE5" s="1"/>
      <c r="AF5" s="197" t="s">
        <v>345</v>
      </c>
      <c r="AG5" s="1"/>
      <c r="AH5" s="1"/>
      <c r="AI5" s="1"/>
      <c r="AJ5" s="1"/>
      <c r="AK5" s="197" t="s">
        <v>345</v>
      </c>
      <c r="AL5" s="1"/>
      <c r="AM5" s="197" t="s">
        <v>345</v>
      </c>
      <c r="AN5" s="1"/>
      <c r="AO5" s="197" t="s">
        <v>345</v>
      </c>
      <c r="AP5" s="1"/>
      <c r="AQ5" s="197" t="s">
        <v>345</v>
      </c>
      <c r="AR5" s="1"/>
      <c r="AS5" s="1"/>
      <c r="AT5" s="197" t="s">
        <v>345</v>
      </c>
      <c r="AU5" s="1"/>
      <c r="AV5" s="197" t="s">
        <v>345</v>
      </c>
      <c r="AW5" s="1"/>
      <c r="AX5" s="197" t="s">
        <v>345</v>
      </c>
      <c r="AY5" s="1"/>
      <c r="AZ5" s="1"/>
      <c r="BA5" s="197" t="s">
        <v>345</v>
      </c>
      <c r="BB5" s="1"/>
      <c r="BC5" s="1"/>
      <c r="BD5" s="197" t="s">
        <v>345</v>
      </c>
      <c r="BE5" s="1"/>
      <c r="BF5" s="197" t="s">
        <v>345</v>
      </c>
      <c r="BG5" s="1"/>
      <c r="BH5" s="197" t="s">
        <v>345</v>
      </c>
      <c r="BI5" s="1"/>
      <c r="BJ5" s="197"/>
      <c r="BK5" s="1"/>
      <c r="BL5" s="1"/>
      <c r="BM5" s="197"/>
      <c r="BN5" s="197"/>
      <c r="BO5" s="1"/>
      <c r="BP5" s="1"/>
      <c r="BQ5" s="1"/>
      <c r="BR5" s="1"/>
      <c r="BS5" s="1"/>
      <c r="BT5" s="169"/>
      <c r="BU5" s="169"/>
      <c r="BV5" s="197" t="s">
        <v>345</v>
      </c>
      <c r="BW5" s="1"/>
      <c r="BX5" s="1"/>
      <c r="BY5" s="1"/>
      <c r="BZ5" s="197" t="s">
        <v>345</v>
      </c>
      <c r="CA5" s="1"/>
      <c r="CB5" s="197"/>
      <c r="CC5" s="197"/>
      <c r="CD5" s="1"/>
      <c r="CE5" s="1"/>
      <c r="CF5" s="197" t="s">
        <v>345</v>
      </c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97" t="s">
        <v>345</v>
      </c>
      <c r="CS5" s="1"/>
      <c r="CT5" s="1"/>
      <c r="CV5" s="11"/>
      <c r="CW5" s="11"/>
      <c r="CX5" s="200"/>
      <c r="CY5" s="200"/>
      <c r="CZ5" s="11"/>
      <c r="DA5" s="11"/>
    </row>
    <row r="6" spans="1:105" ht="12.75">
      <c r="A6" s="168" t="s">
        <v>511</v>
      </c>
      <c r="B6" s="28">
        <v>1</v>
      </c>
      <c r="C6" s="258">
        <f>SUM((1+'3.5 Other investments.'!B67)/SUM(1+'3.5 Other investments.'!B68))-1</f>
        <v>0.010750325575790143</v>
      </c>
      <c r="D6" s="259">
        <v>0.011</v>
      </c>
      <c r="E6" s="258">
        <f>SUM(1+'3.5 Other investments.'!D67)/SUM(1+'3.5 Other investments.'!D68)-1</f>
        <v>0.014645214978941334</v>
      </c>
      <c r="F6" s="259">
        <f>SUM(1+'3.5 Other investments.'!E67)/SUM(1+'3.5 Other investments.'!E68)-1</f>
        <v>0.02164571542440763</v>
      </c>
      <c r="G6" s="259">
        <f>SUM(1+'3.5 Other investments.'!F67)/SUM(1+'3.5 Other investments.'!F68)-1</f>
        <v>-0.018388198944865652</v>
      </c>
      <c r="H6" s="259">
        <f>SUM(1+'3.5 Other investments.'!G67)/SUM(1+'3.5 Other investments.'!G68)-1</f>
        <v>0.028684483625608825</v>
      </c>
      <c r="I6" s="259">
        <f>SUM(1+'3.5 Other investments.'!H67)/SUM(1+'3.5 Other investments.'!H68)-1</f>
        <v>0.02185313937894584</v>
      </c>
      <c r="J6" s="259">
        <f>SUM(1+'3.5 Other investments.'!I67)/SUM(1+'3.5 Other investments.'!I68)-1</f>
        <v>-0.15256350857782797</v>
      </c>
      <c r="K6" s="258">
        <f>SUM(1+'3.5 Other investments.'!J67)/SUM(1+'3.5 Other investments.'!J68)-1</f>
        <v>-0.006074395231856156</v>
      </c>
      <c r="L6" s="258"/>
      <c r="M6" s="258">
        <f>SUM(1+'3.5 Other investments.'!L67)/SUM(1+'3.5 Other investments.'!L68)-1</f>
        <v>-0.008745183338608298</v>
      </c>
      <c r="N6" s="259">
        <f>SUM(1+'3.5 Other investments.'!M67)/SUM(1+'3.5 Other investments.'!M68)-1</f>
        <v>-0.008732550204683442</v>
      </c>
      <c r="O6" s="259">
        <f>SUM(1+'3.5 Other investments.'!N67)/SUM(1+'3.5 Other investments.'!N68)-1</f>
        <v>0.019443330166166062</v>
      </c>
      <c r="P6" s="259"/>
      <c r="Q6" s="258">
        <f>SUM(1+'3.5 Other investments.'!P67)/SUM(1+'3.5 Other investments.'!P68)-1</f>
        <v>-0.005229818215952586</v>
      </c>
      <c r="R6" s="259">
        <f>SUM(1+'3.5 Other investments.'!Q67)/SUM(1+'3.5 Other investments.'!Q68)-1</f>
        <v>0.018056948233677872</v>
      </c>
      <c r="S6" s="258">
        <f>SUM(1+'3.5 Other investments.'!R67)/SUM(1+'3.5 Other investments.'!R68)-1</f>
        <v>-0.02532830580837231</v>
      </c>
      <c r="T6" s="258"/>
      <c r="U6" s="258">
        <f>SUM(1+'3.5 Other investments.'!T67)/SUM(1+'3.5 Other investments.'!T68)-1</f>
        <v>0.015345595094107933</v>
      </c>
      <c r="V6" s="258"/>
      <c r="W6" s="258">
        <f>SUM(1+'3.5 Other investments.'!V67)/SUM(1+'3.5 Other investments.'!V68)-1</f>
        <v>-0.026513605473705626</v>
      </c>
      <c r="X6" s="259">
        <f>SUM(1+'3.5 Other investments.'!W67)/SUM(1+'3.5 Other investments.'!W68)-1</f>
        <v>-0.027194850319639974</v>
      </c>
      <c r="Y6" s="259">
        <f>SUM(1+'3.5 Other investments.'!X67)/SUM(1+'3.5 Other investments.'!X68)-1</f>
        <v>-0.02209447500209194</v>
      </c>
      <c r="Z6" s="258">
        <f>SUM(1+'[1]3.5 Aðrar fjárf.'!Y67)/SUM(1+'[1]3.5 Aðrar fjárf.'!Y68)-1</f>
        <v>0.0021511128513385103</v>
      </c>
      <c r="AA6" s="259"/>
      <c r="AB6" s="258">
        <f>SUM(1+'[1]3.5 Aðrar fjárf.'!AA67)/SUM(1+'[1]3.5 Aðrar fjárf.'!AA68)-1</f>
        <v>0.01873564260622773</v>
      </c>
      <c r="AC6" s="258">
        <v>0.019</v>
      </c>
      <c r="AD6" s="258">
        <f>SUM(1+'[1]3.5 Aðrar fjárf.'!AC67)/SUM(1+'[1]3.5 Aðrar fjárf.'!AC68)-1</f>
        <v>-0.042752078211483524</v>
      </c>
      <c r="AE6" s="258">
        <f>SUM(1+'[1]3.5 Aðrar fjárf.'!AD67)/SUM(1+'[1]3.5 Aðrar fjárf.'!AD68)-1</f>
        <v>-0.049143226388658534</v>
      </c>
      <c r="AF6" s="259">
        <v>-0.049</v>
      </c>
      <c r="AG6" s="258">
        <f>SUM(1+'[1]3.5 Aðrar fjárf.'!AF67)/SUM(1+'[1]3.5 Aðrar fjárf.'!AF68)-1</f>
        <v>-0.043384074135352835</v>
      </c>
      <c r="AH6" s="258">
        <f>SUM(1+'[1]3.5 Aðrar fjárf.'!AG67)/SUM(1+'[1]3.5 Aðrar fjárf.'!AG68)-1</f>
        <v>-0.01816259253207886</v>
      </c>
      <c r="AI6" s="258">
        <f>SUM(1+'[1]3.5 Aðrar fjárf.'!AH67)/SUM(1+'[1]3.5 Aðrar fjárf.'!AH68)-1</f>
        <v>-0.03702445466177773</v>
      </c>
      <c r="AJ6" s="258">
        <f>SUM(1+'[1]3.5 Aðrar fjárf.'!AI67)/SUM(1+'[1]3.5 Aðrar fjárf.'!AI68)-1</f>
        <v>-0.07866919975093212</v>
      </c>
      <c r="AK6" s="259"/>
      <c r="AL6" s="258">
        <f>SUM(1+'[1]3.5 Aðrar fjárf.'!AK67)/SUM(1+'[1]3.5 Aðrar fjárf.'!AK68)-1</f>
        <v>0.0038906742136852746</v>
      </c>
      <c r="AM6" s="259"/>
      <c r="AN6" s="258">
        <f>SUM(1+'[1]3.5 Aðrar fjárf.'!AM67)/SUM(1+'[1]3.5 Aðrar fjárf.'!AM68)-1</f>
        <v>-0.011003934620776312</v>
      </c>
      <c r="AO6" s="259">
        <v>-0.011</v>
      </c>
      <c r="AP6" s="258">
        <f>SUM(1+'[1]3.5 Aðrar fjárf.'!AO67)/SUM(1+'[1]3.5 Aðrar fjárf.'!AO68)-1</f>
        <v>-0.033877345598807285</v>
      </c>
      <c r="AQ6" s="259"/>
      <c r="AR6" s="258">
        <f>SUM(1+'[1]3.5 Aðrar fjárf.'!AQ67)/SUM(1+'[1]3.5 Aðrar fjárf.'!AQ68)-1</f>
        <v>0.0070194826447649294</v>
      </c>
      <c r="AS6" s="258">
        <f>SUM(1+'[1]3.5 Aðrar fjárf.'!AR67)/SUM(1+'[1]3.5 Aðrar fjárf.'!AR68)-1</f>
        <v>-0.02649691294262002</v>
      </c>
      <c r="AT6" s="259">
        <v>-0.026</v>
      </c>
      <c r="AU6" s="258">
        <f>SUM(1+'[1]3.5 Aðrar fjárf.'!AT67)/SUM(1+'[1]3.5 Aðrar fjárf.'!AT68)-1</f>
        <v>0.0319220122448991</v>
      </c>
      <c r="AV6" s="259"/>
      <c r="AW6" s="258">
        <f>SUM(1+'[1]3.5 Aðrar fjárf.'!AV67)/SUM(1+'[1]3.5 Aðrar fjárf.'!AV68)-1</f>
        <v>-0.07396672387507819</v>
      </c>
      <c r="AX6" s="259">
        <v>-0.074</v>
      </c>
      <c r="AY6" s="258">
        <f>SUM(1+'[1]3.5 Aðrar fjárf.'!AX67)/SUM(1+'[1]3.5 Aðrar fjárf.'!AX68)-1</f>
        <v>-0.014136053128414816</v>
      </c>
      <c r="AZ6" s="258">
        <f>SUM(1+'[1]3.5 Aðrar fjárf.'!AY67)/SUM(1+'[1]3.5 Aðrar fjárf.'!AY68)-1</f>
        <v>-0.03565871569471024</v>
      </c>
      <c r="BA6" s="259"/>
      <c r="BB6" s="258">
        <f>SUM(1+'[1]3.5 Aðrar fjárf.'!BA67)/SUM(1+'[1]3.5 Aðrar fjárf.'!BA68)-1</f>
        <v>-0.018254015254565936</v>
      </c>
      <c r="BC6" s="258">
        <f>SUM(1+'[1]3.5 Aðrar fjárf.'!BB67)/SUM(1+'[1]3.5 Aðrar fjárf.'!BB68)-1</f>
        <v>-0.04597579504556171</v>
      </c>
      <c r="BD6" s="259"/>
      <c r="BE6" s="258">
        <f>SUM(1+'[1]3.5 Aðrar fjárf.'!BD67)/SUM(1+'[1]3.5 Aðrar fjárf.'!BD68)-1</f>
        <v>0.029328408439517117</v>
      </c>
      <c r="BF6" s="259"/>
      <c r="BG6" s="258">
        <f>SUM(1+'[1]3.5 Aðrar fjárf.'!BF67)/SUM(1+'[1]3.5 Aðrar fjárf.'!BF68)-1</f>
        <v>0.0385863235952848</v>
      </c>
      <c r="BH6" s="259">
        <v>0.039</v>
      </c>
      <c r="BI6" s="258">
        <f>SUM(1+'[1]3.5 Aðrar fjárf.'!BH67)/SUM(1+'[1]3.5 Aðrar fjárf.'!BH68)-1</f>
        <v>0.03913826310651758</v>
      </c>
      <c r="BJ6" s="259"/>
      <c r="BK6" s="258">
        <f>SUM(1+'[1]3.5 Aðrar fjárf.'!BJ67)/SUM(1+'[1]3.5 Aðrar fjárf.'!BJ68)-1</f>
        <v>-0.003212954421360492</v>
      </c>
      <c r="BL6" s="258">
        <f>SUM(1+'[1]3.5 Aðrar fjárf.'!BK67)/SUM(1+'[1]3.5 Aðrar fjárf.'!BK68)-1</f>
        <v>-0.07743369929624433</v>
      </c>
      <c r="BM6" s="259">
        <f>SUM(1+'[1]3.5 Aðrar fjárf.'!BL67)/SUM(1+'[1]3.5 Aðrar fjárf.'!BL68)-1</f>
        <v>-0.08474872227700747</v>
      </c>
      <c r="BN6" s="259">
        <f>SUM(1+'[1]3.5 Aðrar fjárf.'!BM67)/SUM(1+'[1]3.5 Aðrar fjárf.'!BM68)-1</f>
        <v>0.002509635797952603</v>
      </c>
      <c r="BO6" s="258">
        <f>SUM(1+'[1]3.5 Aðrar fjárf.'!BN67)/SUM(1+'[1]3.5 Aðrar fjárf.'!BN68)-1</f>
        <v>-0.029975200657824774</v>
      </c>
      <c r="BP6" s="258">
        <f>SUM(1+'[1]3.5 Aðrar fjárf.'!BO67)/SUM(1+'[1]3.5 Aðrar fjárf.'!BO68)-1</f>
        <v>0.024144307673954257</v>
      </c>
      <c r="BQ6" s="258">
        <f>SUM(1+'[1]3.5 Aðrar fjárf.'!BP67)/SUM(1+'[1]3.5 Aðrar fjárf.'!BP68)-1</f>
        <v>-0.056751810121072443</v>
      </c>
      <c r="BR6" s="258">
        <f>SUM(1+'[1]3.5 Aðrar fjárf.'!BQ67)/SUM(1+'[1]3.5 Aðrar fjárf.'!BQ68)-1</f>
        <v>0.03131319791984488</v>
      </c>
      <c r="BS6" s="258">
        <f>SUM(1+'[1]3.5 Aðrar fjárf.'!BR67)/SUM(1+'[1]3.5 Aðrar fjárf.'!BR68)-1</f>
        <v>-0.0973983381616732</v>
      </c>
      <c r="BT6" s="259">
        <f>SUM(1+'[1]3.5 Aðrar fjárf.'!BS67)/SUM(1+'[1]3.5 Aðrar fjárf.'!BS68)-1</f>
        <v>-0.09729103732182398</v>
      </c>
      <c r="BU6" s="259">
        <f>SUM(1+'[1]3.5 Aðrar fjárf.'!BT67)/SUM(1+'[1]3.5 Aðrar fjárf.'!BT68)-1</f>
        <v>-0.09836992999947825</v>
      </c>
      <c r="BV6" s="259"/>
      <c r="BW6" s="258">
        <f>SUM(1+'[1]3.5 Aðrar fjárf.'!BV67)/SUM(1+'[1]3.5 Aðrar fjárf.'!BV68)-1</f>
        <v>-0.06202314881129878</v>
      </c>
      <c r="BX6" s="258">
        <f>SUM(1+'[1]3.5 Aðrar fjárf.'!BW67)/SUM(1+'[1]3.5 Aðrar fjárf.'!BW68)-1</f>
        <v>0.021851727056141135</v>
      </c>
      <c r="BY6" s="258">
        <f>SUM(1+'[1]3.5 Aðrar fjárf.'!BX67)/SUM(1+'[1]3.5 Aðrar fjárf.'!BX68)-1</f>
        <v>-0.08791105803628074</v>
      </c>
      <c r="BZ6" s="259"/>
      <c r="CA6" s="258"/>
      <c r="CB6" s="259">
        <f>SUM(1+'[1]3.5 Aðrar fjárf.'!CA67)/SUM(1+'[1]3.5 Aðrar fjárf.'!CA68)-1</f>
        <v>-0.10379422942800454</v>
      </c>
      <c r="CC6" s="259">
        <f>SUM(1+'[1]3.5 Aðrar fjárf.'!CB67)/SUM(1+'[1]3.5 Aðrar fjárf.'!CB68)-1</f>
        <v>0.007711827779712355</v>
      </c>
      <c r="CD6" s="258">
        <f>SUM(1+'[1]3.5 Aðrar fjárf.'!CC67)/SUM(1+'[1]3.5 Aðrar fjárf.'!CC68)-1</f>
        <v>0.028155737286794436</v>
      </c>
      <c r="CE6" s="258">
        <f>SUM(1+'[1]3.5 Aðrar fjárf.'!CD67)/SUM(1+'[1]3.5 Aðrar fjárf.'!CD68)-1</f>
        <v>-0.08506043470191538</v>
      </c>
      <c r="CF6" s="259">
        <v>-0.085</v>
      </c>
      <c r="CG6" s="258">
        <f>SUM(1+'[1]3.5 Aðrar fjárf.'!CF67)/SUM(1+'[1]3.5 Aðrar fjárf.'!CF68)-1</f>
        <v>0.03296501530859408</v>
      </c>
      <c r="CH6" s="258">
        <f>SUM(1+'[1]3.5 Aðrar fjárf.'!CG67)/SUM(1+'[1]3.5 Aðrar fjárf.'!CG68)-1</f>
        <v>0.057344050448868034</v>
      </c>
      <c r="CI6" s="258">
        <f>SUM(1+'[1]3.5 Aðrar fjárf.'!CH67)/SUM(1+'[1]3.5 Aðrar fjárf.'!CH68)-1</f>
        <v>-0.017048514371834966</v>
      </c>
      <c r="CJ6" s="258">
        <f>SUM(1+'[1]3.5 Aðrar fjárf.'!CI67)/SUM(1+'[1]3.5 Aðrar fjárf.'!CI68)-1</f>
        <v>0.032346399693051975</v>
      </c>
      <c r="CK6" s="258">
        <f>SUM(1+'[1]3.5 Aðrar fjárf.'!CJ67)/SUM(1+'[1]3.5 Aðrar fjárf.'!CJ68)-1</f>
        <v>-0.0036539648690654403</v>
      </c>
      <c r="CL6" s="258">
        <f>SUM(1+'[1]3.5 Aðrar fjárf.'!CK67)/SUM(1+'[1]3.5 Aðrar fjárf.'!CK68)-1</f>
        <v>0.0003475890259962977</v>
      </c>
      <c r="CM6" s="258">
        <f>SUM(1+'[1]3.5 Aðrar fjárf.'!CL67)/SUM(1+'[1]3.5 Aðrar fjárf.'!CL68)-1</f>
        <v>0.07486291663091715</v>
      </c>
      <c r="CN6" s="258">
        <f>SUM(1+'[1]3.5 Aðrar fjárf.'!CM67)/SUM(1+'[1]3.5 Aðrar fjárf.'!CM68)-1</f>
        <v>0.02859288208740951</v>
      </c>
      <c r="CO6" s="258">
        <f>SUM(1+'[1]3.5 Aðrar fjárf.'!CN67)/SUM(1+'[1]3.5 Aðrar fjárf.'!CN68)-1</f>
        <v>-0.0035840865535450295</v>
      </c>
      <c r="CP6" s="258">
        <f>SUM(1+'[1]3.5 Aðrar fjárf.'!CO67)/SUM(1+'[1]3.5 Aðrar fjárf.'!CO68)-1</f>
        <v>0.019430154653089504</v>
      </c>
      <c r="CQ6" s="258">
        <f>SUM(1+'[1]3.5 Aðrar fjárf.'!CP67)/SUM(1+'[1]3.5 Aðrar fjárf.'!CP68)-1</f>
        <v>0.04883517151166039</v>
      </c>
      <c r="CR6" s="259">
        <v>0.049</v>
      </c>
      <c r="CS6" s="258">
        <f>SUM(1+'[1]3.5 Aðrar fjárf.'!CR67)/SUM(1+'[1]3.5 Aðrar fjárf.'!CR68)-1</f>
        <v>0.029323695588694854</v>
      </c>
      <c r="CT6" s="258">
        <f>SUM(1+'[1]3.5 Aðrar fjárf.'!CS67)/SUM(1+'[1]3.5 Aðrar fjárf.'!CS68)-1</f>
        <v>-0.02887810126214152</v>
      </c>
      <c r="CV6" s="258">
        <f>SUM(1+'[1]3.5 Aðrar fjárf.'!CV67)/SUM(1+'[1]3.5 Aðrar fjárf.'!CV68)-1</f>
        <v>-0.0073865812537713404</v>
      </c>
      <c r="CW6" s="258"/>
      <c r="CX6" s="258">
        <f>SUM(1+'[1]3.5 Aðrar fjárf.'!CX67)/SUM(1+'[1]3.5 Aðrar fjárf.'!CX68)-1</f>
        <v>0.011143488146751146</v>
      </c>
      <c r="CY6" s="258">
        <f>SUM(1+'[1]3.5 Aðrar fjárf.'!CY67)/SUM(1+'[1]3.5 Aðrar fjárf.'!CY68)-1</f>
        <v>-0.010911053991580988</v>
      </c>
      <c r="CZ6" s="258"/>
      <c r="DA6" s="201"/>
    </row>
    <row r="7" spans="1:105" ht="12.75">
      <c r="A7" s="168" t="s">
        <v>512</v>
      </c>
      <c r="B7" s="28">
        <v>2</v>
      </c>
      <c r="C7" s="258">
        <v>0.076</v>
      </c>
      <c r="D7" s="259"/>
      <c r="E7" s="258">
        <v>0.051</v>
      </c>
      <c r="F7" s="259">
        <v>0.0508</v>
      </c>
      <c r="G7" s="261" t="s">
        <v>347</v>
      </c>
      <c r="H7" s="259"/>
      <c r="I7" s="259"/>
      <c r="J7" s="261" t="s">
        <v>395</v>
      </c>
      <c r="K7" s="258">
        <v>0.0755</v>
      </c>
      <c r="L7" s="259"/>
      <c r="M7" s="258">
        <v>0.079</v>
      </c>
      <c r="N7" s="262"/>
      <c r="O7" s="262"/>
      <c r="P7" s="259"/>
      <c r="Q7" s="258">
        <v>0.0683</v>
      </c>
      <c r="R7" s="259"/>
      <c r="S7" s="258">
        <v>0.0883</v>
      </c>
      <c r="T7" s="259"/>
      <c r="U7" s="258">
        <v>0.0605</v>
      </c>
      <c r="V7" s="259"/>
      <c r="W7" s="258">
        <v>0.0477</v>
      </c>
      <c r="X7" s="259"/>
      <c r="Y7" s="259"/>
      <c r="Z7" s="263" t="s">
        <v>396</v>
      </c>
      <c r="AA7" s="259"/>
      <c r="AB7" s="258">
        <v>0.084</v>
      </c>
      <c r="AC7" s="259"/>
      <c r="AD7" s="264">
        <v>0.0634</v>
      </c>
      <c r="AE7" s="258">
        <v>0.0617</v>
      </c>
      <c r="AF7" s="259"/>
      <c r="AG7" s="258">
        <v>0.075</v>
      </c>
      <c r="AH7" s="258">
        <v>0.0681</v>
      </c>
      <c r="AI7" s="263" t="s">
        <v>350</v>
      </c>
      <c r="AJ7" s="258">
        <v>0.0763</v>
      </c>
      <c r="AK7" s="259"/>
      <c r="AL7" s="258">
        <v>0.0709</v>
      </c>
      <c r="AM7" s="259"/>
      <c r="AN7" s="258">
        <v>0.071</v>
      </c>
      <c r="AO7" s="259"/>
      <c r="AP7" s="258">
        <v>0.049</v>
      </c>
      <c r="AQ7" s="259"/>
      <c r="AR7" s="258">
        <v>0.0553</v>
      </c>
      <c r="AS7" s="258">
        <v>0.072</v>
      </c>
      <c r="AT7" s="259"/>
      <c r="AU7" s="258">
        <v>0.0603</v>
      </c>
      <c r="AV7" s="259"/>
      <c r="AW7" s="264">
        <v>0.056</v>
      </c>
      <c r="AX7" s="259"/>
      <c r="AY7" s="258">
        <v>0.0619</v>
      </c>
      <c r="AZ7" s="263" t="s">
        <v>380</v>
      </c>
      <c r="BA7" s="259"/>
      <c r="BB7" s="258">
        <v>0.064</v>
      </c>
      <c r="BC7" s="258">
        <v>0.0496</v>
      </c>
      <c r="BD7" s="259"/>
      <c r="BE7" s="258">
        <v>0.0628</v>
      </c>
      <c r="BF7" s="259"/>
      <c r="BG7" s="258">
        <v>0.119</v>
      </c>
      <c r="BH7" s="259"/>
      <c r="BI7" s="264"/>
      <c r="BJ7" s="259"/>
      <c r="BK7" s="264">
        <v>0.0451</v>
      </c>
      <c r="BL7" s="258">
        <v>0.0663</v>
      </c>
      <c r="BM7" s="259"/>
      <c r="BN7" s="259"/>
      <c r="BO7" s="258">
        <v>0.054</v>
      </c>
      <c r="BP7" s="258">
        <v>0.0664</v>
      </c>
      <c r="BQ7" s="258">
        <v>0.0458</v>
      </c>
      <c r="BR7" s="258">
        <v>0.051</v>
      </c>
      <c r="BS7" s="258"/>
      <c r="BT7" s="262"/>
      <c r="BU7" s="262"/>
      <c r="BV7" s="262"/>
      <c r="BW7" s="258">
        <v>0.0496</v>
      </c>
      <c r="BX7" s="264">
        <v>0.068</v>
      </c>
      <c r="BY7" s="258">
        <v>0.0361</v>
      </c>
      <c r="BZ7" s="262"/>
      <c r="CA7" s="264"/>
      <c r="CB7" s="262"/>
      <c r="CC7" s="262">
        <v>0.058</v>
      </c>
      <c r="CD7" s="258">
        <v>0.058</v>
      </c>
      <c r="CE7" s="258">
        <v>0.0494</v>
      </c>
      <c r="CF7" s="262"/>
      <c r="CG7" s="258">
        <v>0.0628</v>
      </c>
      <c r="CH7" s="258">
        <v>0.058</v>
      </c>
      <c r="CI7" s="258">
        <v>0.054</v>
      </c>
      <c r="CJ7" s="258">
        <v>0.057</v>
      </c>
      <c r="CK7" s="264">
        <v>0.0441</v>
      </c>
      <c r="CL7" s="264">
        <v>0.052</v>
      </c>
      <c r="CM7" s="258">
        <v>0.0713</v>
      </c>
      <c r="CN7" s="258">
        <v>0.048</v>
      </c>
      <c r="CO7" s="258">
        <v>0.037</v>
      </c>
      <c r="CP7" s="258">
        <v>0.031</v>
      </c>
      <c r="CQ7" s="265">
        <v>0.0485</v>
      </c>
      <c r="CR7" s="266"/>
      <c r="CS7" s="258">
        <v>0.0438</v>
      </c>
      <c r="CT7" s="258"/>
      <c r="CV7" s="258"/>
      <c r="CW7" s="258"/>
      <c r="CX7" s="27"/>
      <c r="CY7" s="27"/>
      <c r="CZ7" s="258"/>
      <c r="DA7" s="267"/>
    </row>
    <row r="8" spans="1:113" ht="18" customHeight="1">
      <c r="A8" s="268" t="s">
        <v>513</v>
      </c>
      <c r="B8" s="28"/>
      <c r="C8" s="269">
        <v>34.5</v>
      </c>
      <c r="D8" s="270"/>
      <c r="E8" s="269">
        <v>21.8</v>
      </c>
      <c r="F8" s="270">
        <v>18.6</v>
      </c>
      <c r="G8" s="270">
        <v>35.2</v>
      </c>
      <c r="H8" s="270">
        <v>0</v>
      </c>
      <c r="I8" s="270">
        <v>0</v>
      </c>
      <c r="J8" s="270">
        <v>92</v>
      </c>
      <c r="K8" s="269">
        <v>36.05</v>
      </c>
      <c r="L8" s="270"/>
      <c r="M8" s="271"/>
      <c r="N8" s="272"/>
      <c r="O8" s="272"/>
      <c r="P8" s="270"/>
      <c r="Q8" s="269">
        <v>29.4</v>
      </c>
      <c r="R8" s="270">
        <v>100</v>
      </c>
      <c r="S8" s="269">
        <v>35</v>
      </c>
      <c r="T8" s="270"/>
      <c r="U8" s="269">
        <v>23.2</v>
      </c>
      <c r="V8" s="270"/>
      <c r="W8" s="269">
        <v>67.83</v>
      </c>
      <c r="X8" s="270"/>
      <c r="Y8" s="270"/>
      <c r="Z8" s="269">
        <v>34.5</v>
      </c>
      <c r="AA8" s="270"/>
      <c r="AB8" s="269">
        <v>24</v>
      </c>
      <c r="AC8" s="270"/>
      <c r="AD8" s="271">
        <v>46.49</v>
      </c>
      <c r="AE8" s="269">
        <v>42.1</v>
      </c>
      <c r="AF8" s="270"/>
      <c r="AG8" s="269">
        <v>64.5</v>
      </c>
      <c r="AH8" s="269">
        <v>54.29</v>
      </c>
      <c r="AI8" s="269">
        <v>66.75</v>
      </c>
      <c r="AJ8" s="269">
        <v>41.93</v>
      </c>
      <c r="AK8" s="270"/>
      <c r="AL8" s="269">
        <v>33.66</v>
      </c>
      <c r="AM8" s="270"/>
      <c r="AN8" s="269">
        <v>49.2</v>
      </c>
      <c r="AO8" s="270"/>
      <c r="AP8" s="269">
        <v>91</v>
      </c>
      <c r="AQ8" s="270"/>
      <c r="AR8" s="269">
        <v>25.3</v>
      </c>
      <c r="AS8" s="269">
        <v>33.03</v>
      </c>
      <c r="AT8" s="270"/>
      <c r="AU8" s="269">
        <v>14.61</v>
      </c>
      <c r="AV8" s="270"/>
      <c r="AW8" s="271">
        <v>34.9</v>
      </c>
      <c r="AX8" s="270"/>
      <c r="AY8" s="269">
        <v>28.8</v>
      </c>
      <c r="AZ8" s="269">
        <v>78.61</v>
      </c>
      <c r="BA8" s="270"/>
      <c r="BB8" s="269">
        <v>69.83</v>
      </c>
      <c r="BC8" s="269">
        <v>71.5</v>
      </c>
      <c r="BD8" s="270"/>
      <c r="BE8" s="269">
        <v>16.1</v>
      </c>
      <c r="BF8" s="270"/>
      <c r="BG8" s="269">
        <v>25.1</v>
      </c>
      <c r="BH8" s="270"/>
      <c r="BI8" s="271">
        <v>13.7</v>
      </c>
      <c r="BJ8" s="270"/>
      <c r="BK8" s="271">
        <v>14.7</v>
      </c>
      <c r="BL8" s="269">
        <v>20.5</v>
      </c>
      <c r="BM8" s="270"/>
      <c r="BN8" s="270"/>
      <c r="BO8" s="269">
        <v>92</v>
      </c>
      <c r="BP8" s="269">
        <v>16.16</v>
      </c>
      <c r="BQ8" s="269">
        <v>56.65</v>
      </c>
      <c r="BR8" s="269">
        <v>9.4</v>
      </c>
      <c r="BS8" s="271">
        <v>72.88</v>
      </c>
      <c r="BT8" s="272"/>
      <c r="BU8" s="272"/>
      <c r="BV8" s="272"/>
      <c r="BW8" s="269">
        <v>47.79</v>
      </c>
      <c r="BX8" s="271">
        <v>44.9</v>
      </c>
      <c r="BY8" s="269">
        <v>32.42</v>
      </c>
      <c r="BZ8" s="272"/>
      <c r="CA8" s="271"/>
      <c r="CB8" s="272">
        <v>35.1</v>
      </c>
      <c r="CC8" s="272">
        <v>23.9</v>
      </c>
      <c r="CD8" s="269">
        <v>9.2</v>
      </c>
      <c r="CE8" s="269">
        <v>21.26</v>
      </c>
      <c r="CF8" s="272"/>
      <c r="CG8" s="269">
        <v>21</v>
      </c>
      <c r="CH8" s="269">
        <v>32.81</v>
      </c>
      <c r="CI8" s="206">
        <v>39</v>
      </c>
      <c r="CJ8" s="269">
        <v>41.1</v>
      </c>
      <c r="CK8" s="271">
        <v>28.84</v>
      </c>
      <c r="CL8" s="271"/>
      <c r="CM8" s="271">
        <v>0.28</v>
      </c>
      <c r="CN8" s="269">
        <v>3.9</v>
      </c>
      <c r="CO8" s="269">
        <v>14.4</v>
      </c>
      <c r="CP8" s="269">
        <v>0</v>
      </c>
      <c r="CQ8" s="273">
        <v>10</v>
      </c>
      <c r="CR8" s="274"/>
      <c r="CS8" s="271">
        <v>0</v>
      </c>
      <c r="CT8" s="269">
        <v>100</v>
      </c>
      <c r="CV8" s="269">
        <f aca="true" t="shared" si="0" ref="CV8:CV13">+(C8+E8+K8+Q8+S8+U8+W8+Z8+AB8+AD8+AE8+AG8+AH8+AI8+AJ8+AL8+AN8+AP8+AR8+AS8+AU8+AW8+AY8+AZ8+BB8+BC8+BE8+BG8+BI8+BK8+BL8+BO8+BP8+BQ8+BR8+BS8+BW8+BX8+BY8+CB8+CC8+CD8+CE8+CG8+CH8+CI8+CJ8+CK8+CM8+CN8+CO8+CP8+CQ8+CS8+CT8)/55</f>
        <v>36.28854545454545</v>
      </c>
      <c r="CW8" s="269"/>
      <c r="CX8" s="269">
        <f aca="true" t="shared" si="1" ref="CX8:CX13">+(E8+AR8+BK8+BO8+BS8+BX8+CB8+CC8+CG8+CH8+CK8+CN8+CO8+CP8+CS8)/15</f>
        <v>28.76866666666666</v>
      </c>
      <c r="CY8" s="269">
        <f aca="true" t="shared" si="2" ref="CY8:CY13">+(C8+K8+Q8+S8+U8+W8+Z8+AB8+AD8+AE8+AG8+AH8+AI8+AJ8+AL8+AN8+AP8+AS8+AU8+AW8+AY8+AZ8+BB8+BC8+BE8+BG8+BI8+BL8+BP8+BQ8+BR8+BW8+BY8+CD8+CE8+CI8+CJ8+CM8+CQ8+CT8)/40</f>
        <v>39.1085</v>
      </c>
      <c r="CZ8" s="269"/>
      <c r="DA8" s="269"/>
      <c r="DB8" s="269"/>
      <c r="DC8" s="269"/>
      <c r="DD8" s="269"/>
      <c r="DE8" s="269"/>
      <c r="DF8" s="269"/>
      <c r="DG8" s="269"/>
      <c r="DH8" s="269"/>
      <c r="DI8" s="269"/>
    </row>
    <row r="9" spans="1:113" ht="12.75">
      <c r="A9" s="168" t="s">
        <v>514</v>
      </c>
      <c r="B9" s="28"/>
      <c r="C9" s="269">
        <v>31.3</v>
      </c>
      <c r="D9" s="270"/>
      <c r="E9" s="269">
        <v>54.4</v>
      </c>
      <c r="F9" s="270">
        <v>58.7</v>
      </c>
      <c r="G9" s="270">
        <v>34.2</v>
      </c>
      <c r="H9" s="270">
        <v>0</v>
      </c>
      <c r="I9" s="270">
        <v>0</v>
      </c>
      <c r="J9" s="270">
        <v>4.5</v>
      </c>
      <c r="K9" s="269">
        <v>36</v>
      </c>
      <c r="L9" s="270"/>
      <c r="M9" s="271"/>
      <c r="N9" s="272"/>
      <c r="O9" s="272"/>
      <c r="P9" s="270"/>
      <c r="Q9" s="269">
        <v>39.9</v>
      </c>
      <c r="R9" s="270">
        <v>0</v>
      </c>
      <c r="S9" s="269">
        <v>48</v>
      </c>
      <c r="T9" s="270"/>
      <c r="U9" s="269">
        <v>70.8</v>
      </c>
      <c r="V9" s="270"/>
      <c r="W9" s="269">
        <v>9.91</v>
      </c>
      <c r="X9" s="270"/>
      <c r="Y9" s="270"/>
      <c r="Z9" s="269">
        <v>36.9</v>
      </c>
      <c r="AA9" s="270"/>
      <c r="AB9" s="269">
        <v>37</v>
      </c>
      <c r="AC9" s="270"/>
      <c r="AD9" s="271">
        <v>13.5</v>
      </c>
      <c r="AE9" s="269">
        <v>41.7</v>
      </c>
      <c r="AF9" s="270"/>
      <c r="AG9" s="269">
        <v>17.9</v>
      </c>
      <c r="AH9" s="269">
        <v>24.48</v>
      </c>
      <c r="AI9" s="269">
        <v>6.93</v>
      </c>
      <c r="AJ9" s="269">
        <v>9.5</v>
      </c>
      <c r="AK9" s="270"/>
      <c r="AL9" s="269">
        <v>45.66</v>
      </c>
      <c r="AM9" s="270"/>
      <c r="AN9" s="269">
        <v>43.3</v>
      </c>
      <c r="AO9" s="270"/>
      <c r="AP9" s="269">
        <v>2.2</v>
      </c>
      <c r="AQ9" s="270"/>
      <c r="AR9" s="269">
        <v>52.6</v>
      </c>
      <c r="AS9" s="269">
        <v>35.33</v>
      </c>
      <c r="AT9" s="270"/>
      <c r="AU9" s="269">
        <v>55.87</v>
      </c>
      <c r="AV9" s="270"/>
      <c r="AW9" s="271">
        <v>9.2</v>
      </c>
      <c r="AX9" s="270"/>
      <c r="AY9" s="269">
        <v>30.8</v>
      </c>
      <c r="AZ9" s="269">
        <v>1.89</v>
      </c>
      <c r="BA9" s="270"/>
      <c r="BB9" s="269">
        <v>13.63</v>
      </c>
      <c r="BC9" s="269">
        <v>24.78</v>
      </c>
      <c r="BD9" s="270"/>
      <c r="BE9" s="269">
        <v>72.1</v>
      </c>
      <c r="BF9" s="270"/>
      <c r="BG9" s="269">
        <v>12.7</v>
      </c>
      <c r="BH9" s="270"/>
      <c r="BI9" s="271">
        <v>49.8</v>
      </c>
      <c r="BJ9" s="270"/>
      <c r="BK9" s="271">
        <v>0.2</v>
      </c>
      <c r="BL9" s="269">
        <v>45.8</v>
      </c>
      <c r="BM9" s="270"/>
      <c r="BN9" s="270"/>
      <c r="BO9" s="269">
        <v>2</v>
      </c>
      <c r="BP9" s="269">
        <v>66.38</v>
      </c>
      <c r="BQ9" s="269">
        <v>5.34</v>
      </c>
      <c r="BR9" s="269">
        <v>7.1</v>
      </c>
      <c r="BS9" s="271">
        <v>9.63</v>
      </c>
      <c r="BT9" s="272"/>
      <c r="BU9" s="272"/>
      <c r="BV9" s="272"/>
      <c r="BW9" s="269">
        <v>32.82</v>
      </c>
      <c r="BX9" s="271">
        <v>9</v>
      </c>
      <c r="BY9" s="269">
        <v>60.94</v>
      </c>
      <c r="BZ9" s="272"/>
      <c r="CA9" s="271"/>
      <c r="CB9" s="272">
        <v>64.9</v>
      </c>
      <c r="CC9" s="272">
        <v>50.9</v>
      </c>
      <c r="CD9" s="269">
        <v>29.4</v>
      </c>
      <c r="CE9" s="269">
        <v>64.94</v>
      </c>
      <c r="CF9" s="272"/>
      <c r="CG9" s="269">
        <v>48</v>
      </c>
      <c r="CH9" s="269">
        <v>24.53</v>
      </c>
      <c r="CI9" s="206">
        <v>19.4</v>
      </c>
      <c r="CJ9" s="269">
        <v>42.9</v>
      </c>
      <c r="CK9" s="271">
        <v>28.07</v>
      </c>
      <c r="CL9" s="271"/>
      <c r="CM9" s="271">
        <v>88.49</v>
      </c>
      <c r="CN9" s="269">
        <v>93.8</v>
      </c>
      <c r="CO9" s="269">
        <v>49.4</v>
      </c>
      <c r="CP9" s="269">
        <v>0</v>
      </c>
      <c r="CQ9" s="273">
        <v>0</v>
      </c>
      <c r="CR9" s="274"/>
      <c r="CS9" s="271">
        <v>18.2</v>
      </c>
      <c r="CT9" s="269">
        <v>0</v>
      </c>
      <c r="CV9" s="269">
        <f t="shared" si="0"/>
        <v>32.54945454545455</v>
      </c>
      <c r="CW9" s="269"/>
      <c r="CX9" s="269">
        <f t="shared" si="1"/>
        <v>33.708666666666666</v>
      </c>
      <c r="CY9" s="269">
        <f t="shared" si="2"/>
        <v>32.11475000000001</v>
      </c>
      <c r="CZ9" s="269"/>
      <c r="DA9" s="269"/>
      <c r="DB9" s="269"/>
      <c r="DC9" s="269"/>
      <c r="DD9" s="269"/>
      <c r="DE9" s="269"/>
      <c r="DF9" s="269"/>
      <c r="DG9" s="269"/>
      <c r="DH9" s="269"/>
      <c r="DI9" s="269"/>
    </row>
    <row r="10" spans="1:113" ht="12.75">
      <c r="A10" s="168" t="s">
        <v>515</v>
      </c>
      <c r="B10" s="28"/>
      <c r="C10" s="269">
        <v>0.3</v>
      </c>
      <c r="D10" s="270"/>
      <c r="E10" s="269">
        <v>0.3</v>
      </c>
      <c r="F10" s="270">
        <v>0.3</v>
      </c>
      <c r="G10" s="270">
        <v>0.6</v>
      </c>
      <c r="H10" s="270">
        <v>0</v>
      </c>
      <c r="I10" s="270">
        <v>0</v>
      </c>
      <c r="J10" s="270">
        <v>3</v>
      </c>
      <c r="K10" s="269">
        <v>1.18</v>
      </c>
      <c r="L10" s="270"/>
      <c r="M10" s="271"/>
      <c r="N10" s="272"/>
      <c r="O10" s="272"/>
      <c r="P10" s="270"/>
      <c r="Q10" s="269">
        <v>0.6</v>
      </c>
      <c r="R10" s="270">
        <v>0</v>
      </c>
      <c r="S10" s="269">
        <v>3</v>
      </c>
      <c r="T10" s="270"/>
      <c r="U10" s="269">
        <v>0.4</v>
      </c>
      <c r="V10" s="270"/>
      <c r="W10" s="269">
        <v>0.1</v>
      </c>
      <c r="X10" s="270"/>
      <c r="Y10" s="270"/>
      <c r="Z10" s="269">
        <v>1</v>
      </c>
      <c r="AA10" s="270"/>
      <c r="AB10" s="269">
        <v>10.2</v>
      </c>
      <c r="AC10" s="270"/>
      <c r="AD10" s="271">
        <v>11.05</v>
      </c>
      <c r="AE10" s="269">
        <v>1.1</v>
      </c>
      <c r="AF10" s="270"/>
      <c r="AG10" s="269">
        <v>1.4</v>
      </c>
      <c r="AH10" s="269">
        <v>1.02</v>
      </c>
      <c r="AI10" s="269">
        <v>2.97</v>
      </c>
      <c r="AJ10" s="269">
        <v>0</v>
      </c>
      <c r="AK10" s="270"/>
      <c r="AL10" s="269">
        <v>3.46</v>
      </c>
      <c r="AM10" s="270"/>
      <c r="AN10" s="269">
        <v>2</v>
      </c>
      <c r="AO10" s="270"/>
      <c r="AP10" s="269">
        <v>0</v>
      </c>
      <c r="AQ10" s="270"/>
      <c r="AR10" s="269">
        <v>0</v>
      </c>
      <c r="AS10" s="269">
        <v>1.44</v>
      </c>
      <c r="AT10" s="270"/>
      <c r="AU10" s="269">
        <v>2.03</v>
      </c>
      <c r="AV10" s="270"/>
      <c r="AW10" s="271">
        <v>55.2</v>
      </c>
      <c r="AX10" s="270"/>
      <c r="AY10" s="269">
        <v>1.63</v>
      </c>
      <c r="AZ10" s="269">
        <v>0.13</v>
      </c>
      <c r="BA10" s="270"/>
      <c r="BB10" s="269">
        <v>1.46</v>
      </c>
      <c r="BC10" s="269">
        <v>0.72</v>
      </c>
      <c r="BD10" s="270"/>
      <c r="BE10" s="269">
        <v>1.2</v>
      </c>
      <c r="BF10" s="270"/>
      <c r="BG10" s="269">
        <v>26.2</v>
      </c>
      <c r="BH10" s="270"/>
      <c r="BI10" s="271">
        <v>1.1</v>
      </c>
      <c r="BJ10" s="270"/>
      <c r="BK10" s="271">
        <v>23.6</v>
      </c>
      <c r="BL10" s="269">
        <v>0</v>
      </c>
      <c r="BM10" s="270"/>
      <c r="BN10" s="270"/>
      <c r="BO10" s="269">
        <v>0</v>
      </c>
      <c r="BP10" s="269">
        <v>3.23</v>
      </c>
      <c r="BQ10" s="269">
        <v>0.42</v>
      </c>
      <c r="BR10" s="269">
        <v>0</v>
      </c>
      <c r="BS10" s="271">
        <v>0.61</v>
      </c>
      <c r="BT10" s="272"/>
      <c r="BU10" s="272"/>
      <c r="BV10" s="272"/>
      <c r="BW10" s="269">
        <v>1.53</v>
      </c>
      <c r="BX10" s="271">
        <v>4.5</v>
      </c>
      <c r="BY10" s="269">
        <v>0.84</v>
      </c>
      <c r="BZ10" s="272"/>
      <c r="CA10" s="271"/>
      <c r="CB10" s="272">
        <v>0</v>
      </c>
      <c r="CC10" s="272">
        <v>0</v>
      </c>
      <c r="CD10" s="269">
        <v>42.3</v>
      </c>
      <c r="CE10" s="269">
        <v>3.19</v>
      </c>
      <c r="CF10" s="272"/>
      <c r="CG10" s="269">
        <v>0</v>
      </c>
      <c r="CH10" s="269">
        <v>0</v>
      </c>
      <c r="CI10" s="206">
        <v>0.8</v>
      </c>
      <c r="CJ10" s="269">
        <v>0</v>
      </c>
      <c r="CK10" s="271">
        <v>1.42</v>
      </c>
      <c r="CL10" s="271"/>
      <c r="CM10" s="271">
        <v>0</v>
      </c>
      <c r="CN10" s="269">
        <v>0</v>
      </c>
      <c r="CO10" s="269">
        <v>1.4</v>
      </c>
      <c r="CP10" s="269">
        <v>0</v>
      </c>
      <c r="CQ10" s="273">
        <v>0</v>
      </c>
      <c r="CR10" s="274"/>
      <c r="CS10" s="271">
        <v>0</v>
      </c>
      <c r="CT10" s="269">
        <v>0</v>
      </c>
      <c r="CV10" s="269">
        <f t="shared" si="0"/>
        <v>3.909636363636363</v>
      </c>
      <c r="CW10" s="269"/>
      <c r="CX10" s="269">
        <f t="shared" si="1"/>
        <v>2.122</v>
      </c>
      <c r="CY10" s="269">
        <f t="shared" si="2"/>
        <v>4.58</v>
      </c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</row>
    <row r="11" spans="1:113" ht="12.75">
      <c r="A11" s="168" t="s">
        <v>516</v>
      </c>
      <c r="B11" s="28"/>
      <c r="C11" s="269">
        <v>18.1</v>
      </c>
      <c r="D11" s="270"/>
      <c r="E11" s="269">
        <v>3.3</v>
      </c>
      <c r="F11" s="270">
        <v>3.1</v>
      </c>
      <c r="G11" s="270">
        <v>4.3</v>
      </c>
      <c r="H11" s="270">
        <v>0</v>
      </c>
      <c r="I11" s="270">
        <v>0</v>
      </c>
      <c r="J11" s="270">
        <v>0</v>
      </c>
      <c r="K11" s="269">
        <v>10.95</v>
      </c>
      <c r="L11" s="270"/>
      <c r="M11" s="271"/>
      <c r="N11" s="272"/>
      <c r="O11" s="272"/>
      <c r="P11" s="270"/>
      <c r="Q11" s="269">
        <v>23.1</v>
      </c>
      <c r="R11" s="270">
        <v>0</v>
      </c>
      <c r="S11" s="269">
        <v>7</v>
      </c>
      <c r="T11" s="270"/>
      <c r="U11" s="269">
        <v>3</v>
      </c>
      <c r="V11" s="270"/>
      <c r="W11" s="269">
        <v>12.81</v>
      </c>
      <c r="X11" s="270"/>
      <c r="Y11" s="270"/>
      <c r="Z11" s="269">
        <v>1.2</v>
      </c>
      <c r="AA11" s="270"/>
      <c r="AB11" s="269">
        <v>7.2</v>
      </c>
      <c r="AC11" s="270"/>
      <c r="AD11" s="271">
        <v>21.14</v>
      </c>
      <c r="AE11" s="269">
        <v>11.9</v>
      </c>
      <c r="AF11" s="270"/>
      <c r="AG11" s="269">
        <v>0</v>
      </c>
      <c r="AH11" s="269">
        <v>0</v>
      </c>
      <c r="AI11" s="269">
        <v>15.2</v>
      </c>
      <c r="AJ11" s="269">
        <v>6.63</v>
      </c>
      <c r="AK11" s="270"/>
      <c r="AL11" s="269">
        <v>9.34</v>
      </c>
      <c r="AM11" s="270"/>
      <c r="AN11" s="269">
        <v>1.5</v>
      </c>
      <c r="AO11" s="270"/>
      <c r="AP11" s="269">
        <v>6.8</v>
      </c>
      <c r="AQ11" s="270"/>
      <c r="AR11" s="269">
        <v>8</v>
      </c>
      <c r="AS11" s="269">
        <v>29.37</v>
      </c>
      <c r="AT11" s="270"/>
      <c r="AU11" s="269">
        <v>10.24</v>
      </c>
      <c r="AV11" s="270"/>
      <c r="AW11" s="271">
        <v>0</v>
      </c>
      <c r="AX11" s="270"/>
      <c r="AY11" s="269">
        <v>31.22</v>
      </c>
      <c r="AZ11" s="269">
        <v>8.58</v>
      </c>
      <c r="BA11" s="270"/>
      <c r="BB11" s="269">
        <v>5.11</v>
      </c>
      <c r="BC11" s="269">
        <v>3</v>
      </c>
      <c r="BD11" s="270"/>
      <c r="BE11" s="269">
        <v>0</v>
      </c>
      <c r="BF11" s="270"/>
      <c r="BG11" s="269">
        <v>9.9</v>
      </c>
      <c r="BH11" s="270"/>
      <c r="BI11" s="271">
        <v>0</v>
      </c>
      <c r="BJ11" s="270"/>
      <c r="BK11" s="271">
        <v>7</v>
      </c>
      <c r="BL11" s="269">
        <v>28.6</v>
      </c>
      <c r="BM11" s="270"/>
      <c r="BN11" s="270"/>
      <c r="BO11" s="269">
        <v>6</v>
      </c>
      <c r="BP11" s="269">
        <v>9.72</v>
      </c>
      <c r="BQ11" s="269">
        <v>34.45</v>
      </c>
      <c r="BR11" s="269">
        <v>83.2</v>
      </c>
      <c r="BS11" s="271">
        <v>0</v>
      </c>
      <c r="BT11" s="272"/>
      <c r="BU11" s="272"/>
      <c r="BV11" s="272"/>
      <c r="BW11" s="269">
        <v>12.07</v>
      </c>
      <c r="BX11" s="271">
        <v>13.3</v>
      </c>
      <c r="BY11" s="269">
        <v>5.8</v>
      </c>
      <c r="BZ11" s="272"/>
      <c r="CA11" s="271"/>
      <c r="CB11" s="272">
        <v>0</v>
      </c>
      <c r="CC11" s="272">
        <v>0</v>
      </c>
      <c r="CD11" s="269">
        <v>14.4</v>
      </c>
      <c r="CE11" s="269">
        <v>3.44</v>
      </c>
      <c r="CF11" s="272"/>
      <c r="CG11" s="269">
        <v>18</v>
      </c>
      <c r="CH11" s="269">
        <v>30.84</v>
      </c>
      <c r="CI11" s="206">
        <v>28</v>
      </c>
      <c r="CJ11" s="269">
        <v>16</v>
      </c>
      <c r="CK11" s="271">
        <v>20.95</v>
      </c>
      <c r="CL11" s="271"/>
      <c r="CM11" s="271">
        <v>0</v>
      </c>
      <c r="CN11" s="269">
        <v>0</v>
      </c>
      <c r="CO11" s="269">
        <v>2.5</v>
      </c>
      <c r="CP11" s="269">
        <v>23.2</v>
      </c>
      <c r="CQ11" s="273">
        <v>0</v>
      </c>
      <c r="CR11" s="274"/>
      <c r="CS11" s="271">
        <v>67.3</v>
      </c>
      <c r="CT11" s="269">
        <v>0</v>
      </c>
      <c r="CV11" s="269">
        <f t="shared" si="0"/>
        <v>12.533818181818184</v>
      </c>
      <c r="CW11" s="269"/>
      <c r="CX11" s="269">
        <f t="shared" si="1"/>
        <v>13.359333333333332</v>
      </c>
      <c r="CY11" s="269">
        <f t="shared" si="2"/>
        <v>12.224250000000001</v>
      </c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</row>
    <row r="12" spans="1:113" ht="12.75">
      <c r="A12" s="168" t="s">
        <v>517</v>
      </c>
      <c r="B12" s="28"/>
      <c r="C12" s="269">
        <v>15.8</v>
      </c>
      <c r="D12" s="270"/>
      <c r="E12" s="269">
        <v>20.2</v>
      </c>
      <c r="F12" s="270">
        <v>19.3</v>
      </c>
      <c r="G12" s="270">
        <v>25.6</v>
      </c>
      <c r="H12" s="270">
        <v>100</v>
      </c>
      <c r="I12" s="270">
        <v>0</v>
      </c>
      <c r="J12" s="270">
        <v>0</v>
      </c>
      <c r="K12" s="269">
        <v>15.77</v>
      </c>
      <c r="L12" s="270"/>
      <c r="M12" s="269"/>
      <c r="N12" s="272"/>
      <c r="O12" s="272"/>
      <c r="P12" s="270"/>
      <c r="Q12" s="269">
        <v>7</v>
      </c>
      <c r="R12" s="270">
        <v>0</v>
      </c>
      <c r="S12" s="269">
        <v>3</v>
      </c>
      <c r="T12" s="270"/>
      <c r="U12" s="269">
        <v>2.6</v>
      </c>
      <c r="V12" s="270"/>
      <c r="W12" s="269">
        <v>9.35</v>
      </c>
      <c r="X12" s="270"/>
      <c r="Y12" s="270"/>
      <c r="Z12" s="269">
        <v>26.1</v>
      </c>
      <c r="AA12" s="270"/>
      <c r="AB12" s="269">
        <v>20.2</v>
      </c>
      <c r="AC12" s="270"/>
      <c r="AD12" s="271">
        <v>7.82</v>
      </c>
      <c r="AE12" s="269">
        <v>3.2</v>
      </c>
      <c r="AF12" s="270"/>
      <c r="AG12" s="269">
        <v>16.1</v>
      </c>
      <c r="AH12" s="269">
        <v>4.31</v>
      </c>
      <c r="AI12" s="269">
        <v>5.67</v>
      </c>
      <c r="AJ12" s="269">
        <v>26.93</v>
      </c>
      <c r="AK12" s="270"/>
      <c r="AL12" s="269">
        <v>0.02</v>
      </c>
      <c r="AM12" s="270"/>
      <c r="AN12" s="269">
        <v>3.5</v>
      </c>
      <c r="AO12" s="270"/>
      <c r="AP12" s="269">
        <v>0</v>
      </c>
      <c r="AQ12" s="270"/>
      <c r="AR12" s="269">
        <v>14.1</v>
      </c>
      <c r="AS12" s="269">
        <v>0.58</v>
      </c>
      <c r="AT12" s="270"/>
      <c r="AU12" s="269">
        <v>17.25</v>
      </c>
      <c r="AV12" s="270"/>
      <c r="AW12" s="271">
        <v>0.7</v>
      </c>
      <c r="AX12" s="270"/>
      <c r="AY12" s="269">
        <v>7.55</v>
      </c>
      <c r="AZ12" s="269">
        <v>10.79</v>
      </c>
      <c r="BA12" s="270"/>
      <c r="BB12" s="269">
        <v>3.08</v>
      </c>
      <c r="BC12" s="269">
        <v>0</v>
      </c>
      <c r="BD12" s="270"/>
      <c r="BE12" s="269">
        <v>10</v>
      </c>
      <c r="BF12" s="270"/>
      <c r="BG12" s="269">
        <v>26</v>
      </c>
      <c r="BH12" s="270"/>
      <c r="BI12" s="271">
        <v>35.4</v>
      </c>
      <c r="BJ12" s="270"/>
      <c r="BK12" s="271">
        <v>54.5</v>
      </c>
      <c r="BL12" s="269">
        <v>5.1</v>
      </c>
      <c r="BM12" s="270"/>
      <c r="BN12" s="270"/>
      <c r="BO12" s="269">
        <v>0</v>
      </c>
      <c r="BP12" s="269">
        <v>4.51</v>
      </c>
      <c r="BQ12" s="269">
        <v>2.67</v>
      </c>
      <c r="BR12" s="269">
        <v>0.3</v>
      </c>
      <c r="BS12" s="269">
        <v>17.49</v>
      </c>
      <c r="BT12" s="272"/>
      <c r="BU12" s="272"/>
      <c r="BV12" s="272"/>
      <c r="BW12" s="269">
        <v>5.79</v>
      </c>
      <c r="BX12" s="271">
        <v>28.3</v>
      </c>
      <c r="BY12" s="269">
        <v>0</v>
      </c>
      <c r="BZ12" s="272"/>
      <c r="CA12" s="271"/>
      <c r="CB12" s="272">
        <v>0</v>
      </c>
      <c r="CC12" s="272">
        <v>23.8</v>
      </c>
      <c r="CD12" s="269">
        <v>4.7</v>
      </c>
      <c r="CE12" s="269">
        <v>7.17</v>
      </c>
      <c r="CF12" s="272"/>
      <c r="CG12" s="269">
        <v>13</v>
      </c>
      <c r="CH12" s="269">
        <v>11.82</v>
      </c>
      <c r="CI12" s="206">
        <v>10.7</v>
      </c>
      <c r="CJ12" s="269">
        <v>0</v>
      </c>
      <c r="CK12" s="271">
        <v>20.72</v>
      </c>
      <c r="CL12" s="271"/>
      <c r="CM12" s="269">
        <v>7.42</v>
      </c>
      <c r="CN12" s="269">
        <v>2.3</v>
      </c>
      <c r="CO12" s="269">
        <v>3.3</v>
      </c>
      <c r="CP12" s="269">
        <v>76.8</v>
      </c>
      <c r="CQ12" s="273">
        <v>79</v>
      </c>
      <c r="CR12" s="274"/>
      <c r="CS12" s="271">
        <v>14.5</v>
      </c>
      <c r="CT12" s="269">
        <v>0</v>
      </c>
      <c r="CV12" s="269">
        <f t="shared" si="0"/>
        <v>12.852909090909089</v>
      </c>
      <c r="CW12" s="269"/>
      <c r="CX12" s="269">
        <f t="shared" si="1"/>
        <v>20.055333333333337</v>
      </c>
      <c r="CY12" s="269">
        <f t="shared" si="2"/>
        <v>10.152000000000003</v>
      </c>
      <c r="CZ12" s="269"/>
      <c r="DA12" s="269"/>
      <c r="DB12" s="269"/>
      <c r="DC12" s="269"/>
      <c r="DD12" s="269"/>
      <c r="DE12" s="269"/>
      <c r="DF12" s="269"/>
      <c r="DG12" s="269"/>
      <c r="DH12" s="269"/>
      <c r="DI12" s="269"/>
    </row>
    <row r="13" spans="1:113" ht="12.75">
      <c r="A13" s="168" t="s">
        <v>518</v>
      </c>
      <c r="B13" s="28"/>
      <c r="C13" s="269">
        <v>0</v>
      </c>
      <c r="D13" s="270"/>
      <c r="E13" s="269">
        <v>0</v>
      </c>
      <c r="F13" s="270">
        <v>0</v>
      </c>
      <c r="G13" s="270">
        <v>0</v>
      </c>
      <c r="H13" s="270">
        <v>0</v>
      </c>
      <c r="I13" s="270">
        <v>0</v>
      </c>
      <c r="J13" s="270">
        <v>0</v>
      </c>
      <c r="K13" s="269">
        <v>0.54</v>
      </c>
      <c r="L13" s="270"/>
      <c r="M13" s="269"/>
      <c r="N13" s="270"/>
      <c r="O13" s="270"/>
      <c r="P13" s="270"/>
      <c r="Q13" s="269">
        <v>0</v>
      </c>
      <c r="R13" s="270">
        <v>0</v>
      </c>
      <c r="S13" s="269">
        <v>4</v>
      </c>
      <c r="T13" s="270"/>
      <c r="U13" s="269">
        <v>0</v>
      </c>
      <c r="V13" s="270"/>
      <c r="W13" s="269">
        <v>0</v>
      </c>
      <c r="X13" s="270"/>
      <c r="Y13" s="270"/>
      <c r="Z13" s="269">
        <v>0.3</v>
      </c>
      <c r="AA13" s="270"/>
      <c r="AB13" s="269">
        <v>1.4</v>
      </c>
      <c r="AC13" s="270"/>
      <c r="AD13" s="271"/>
      <c r="AE13" s="269">
        <v>0</v>
      </c>
      <c r="AF13" s="270"/>
      <c r="AG13" s="269">
        <v>0.1</v>
      </c>
      <c r="AH13" s="269">
        <v>15.89</v>
      </c>
      <c r="AI13" s="269">
        <f>0.25+2.15+0.08</f>
        <v>2.48</v>
      </c>
      <c r="AJ13" s="269">
        <v>15.01</v>
      </c>
      <c r="AK13" s="270"/>
      <c r="AL13" s="269">
        <f>7.8+0.06</f>
        <v>7.859999999999999</v>
      </c>
      <c r="AM13" s="270"/>
      <c r="AN13" s="269">
        <v>0</v>
      </c>
      <c r="AO13" s="270"/>
      <c r="AP13" s="269">
        <v>0</v>
      </c>
      <c r="AQ13" s="270"/>
      <c r="AR13" s="269">
        <v>0</v>
      </c>
      <c r="AS13" s="269">
        <v>0.26</v>
      </c>
      <c r="AT13" s="270"/>
      <c r="AU13" s="269">
        <v>0</v>
      </c>
      <c r="AV13" s="270"/>
      <c r="AW13" s="269">
        <v>0</v>
      </c>
      <c r="AX13" s="270"/>
      <c r="AY13" s="269">
        <v>0</v>
      </c>
      <c r="AZ13" s="269">
        <v>0</v>
      </c>
      <c r="BA13" s="270"/>
      <c r="BB13" s="269">
        <v>6.89</v>
      </c>
      <c r="BC13" s="269">
        <v>0</v>
      </c>
      <c r="BD13" s="270"/>
      <c r="BE13" s="269">
        <v>0.5</v>
      </c>
      <c r="BF13" s="270"/>
      <c r="BG13" s="269">
        <v>0.1</v>
      </c>
      <c r="BH13" s="270"/>
      <c r="BI13" s="271">
        <v>0</v>
      </c>
      <c r="BJ13" s="270"/>
      <c r="BK13" s="269">
        <v>0</v>
      </c>
      <c r="BL13" s="269">
        <v>0</v>
      </c>
      <c r="BM13" s="270"/>
      <c r="BN13" s="270"/>
      <c r="BO13" s="269">
        <v>0</v>
      </c>
      <c r="BP13" s="269">
        <v>0</v>
      </c>
      <c r="BQ13" s="269">
        <v>0.54</v>
      </c>
      <c r="BR13" s="269">
        <v>0</v>
      </c>
      <c r="BS13" s="269">
        <v>0</v>
      </c>
      <c r="BT13" s="270"/>
      <c r="BU13" s="270"/>
      <c r="BV13" s="272"/>
      <c r="BW13" s="269">
        <v>0</v>
      </c>
      <c r="BX13" s="269">
        <v>0</v>
      </c>
      <c r="BY13" s="269">
        <v>0</v>
      </c>
      <c r="BZ13" s="272"/>
      <c r="CA13" s="271"/>
      <c r="CB13" s="272">
        <v>0</v>
      </c>
      <c r="CC13" s="272">
        <v>1.4</v>
      </c>
      <c r="CD13" s="269">
        <v>0</v>
      </c>
      <c r="CE13" s="269">
        <v>0</v>
      </c>
      <c r="CF13" s="272"/>
      <c r="CG13" s="269">
        <v>0</v>
      </c>
      <c r="CH13" s="269">
        <v>0</v>
      </c>
      <c r="CI13" s="206">
        <v>2.1</v>
      </c>
      <c r="CJ13" s="269">
        <v>0</v>
      </c>
      <c r="CK13" s="271">
        <v>0</v>
      </c>
      <c r="CL13" s="271"/>
      <c r="CM13" s="269">
        <v>3.82</v>
      </c>
      <c r="CN13" s="269">
        <v>0</v>
      </c>
      <c r="CO13" s="269">
        <v>29.1</v>
      </c>
      <c r="CP13" s="269">
        <v>0</v>
      </c>
      <c r="CQ13" s="273">
        <v>11</v>
      </c>
      <c r="CR13" s="274"/>
      <c r="CS13" s="269">
        <v>0</v>
      </c>
      <c r="CT13" s="269">
        <v>0</v>
      </c>
      <c r="CV13" s="269">
        <f t="shared" si="0"/>
        <v>1.878</v>
      </c>
      <c r="CW13" s="269"/>
      <c r="CX13" s="269">
        <f t="shared" si="1"/>
        <v>2.033333333333333</v>
      </c>
      <c r="CY13" s="269">
        <f t="shared" si="2"/>
        <v>1.8197499999999998</v>
      </c>
      <c r="CZ13" s="269"/>
      <c r="DA13" s="269"/>
      <c r="DB13" s="269"/>
      <c r="DC13" s="269"/>
      <c r="DD13" s="269"/>
      <c r="DE13" s="269"/>
      <c r="DF13" s="269"/>
      <c r="DG13" s="269"/>
      <c r="DH13" s="269"/>
      <c r="DI13" s="269"/>
    </row>
    <row r="14" spans="1:105" ht="12.75">
      <c r="A14" s="15" t="s">
        <v>519</v>
      </c>
      <c r="B14" s="28">
        <v>3</v>
      </c>
      <c r="C14" s="27">
        <f aca="true" t="shared" si="3" ref="C14:M14">C8+C9+C10+C11+C12+C13</f>
        <v>99.99999999999999</v>
      </c>
      <c r="D14" s="173"/>
      <c r="E14" s="27">
        <f t="shared" si="3"/>
        <v>100</v>
      </c>
      <c r="F14" s="173">
        <f t="shared" si="3"/>
        <v>100</v>
      </c>
      <c r="G14" s="173">
        <f t="shared" si="3"/>
        <v>99.9</v>
      </c>
      <c r="H14" s="173">
        <f t="shared" si="3"/>
        <v>100</v>
      </c>
      <c r="I14" s="173">
        <f t="shared" si="3"/>
        <v>0</v>
      </c>
      <c r="J14" s="173">
        <f t="shared" si="3"/>
        <v>99.5</v>
      </c>
      <c r="K14" s="27">
        <f t="shared" si="3"/>
        <v>100.49000000000001</v>
      </c>
      <c r="L14" s="173"/>
      <c r="M14" s="27">
        <f t="shared" si="3"/>
        <v>0</v>
      </c>
      <c r="N14" s="173"/>
      <c r="O14" s="173"/>
      <c r="P14" s="173"/>
      <c r="Q14" s="27">
        <f>Q8+Q9+Q10+Q11+Q12+Q13</f>
        <v>100</v>
      </c>
      <c r="R14" s="173">
        <f>R8+R9+R10+R11+R12+R13</f>
        <v>100</v>
      </c>
      <c r="S14" s="27">
        <f>S8+S9+S10+S11+S12+S13</f>
        <v>100</v>
      </c>
      <c r="T14" s="173"/>
      <c r="U14" s="27">
        <f>U8+U9+U10+U11+U12+U13</f>
        <v>100</v>
      </c>
      <c r="V14" s="173"/>
      <c r="W14" s="27">
        <f>W8+W9+W10+W11+W12+W13</f>
        <v>99.99999999999999</v>
      </c>
      <c r="X14" s="173"/>
      <c r="Y14" s="173"/>
      <c r="Z14" s="27">
        <f aca="true" t="shared" si="4" ref="Z14:BY14">Z8+Z9+Z10+Z11+Z12+Z13</f>
        <v>100.00000000000001</v>
      </c>
      <c r="AA14" s="173"/>
      <c r="AB14" s="27">
        <f t="shared" si="4"/>
        <v>100.00000000000001</v>
      </c>
      <c r="AC14" s="173"/>
      <c r="AD14" s="93">
        <f t="shared" si="4"/>
        <v>100</v>
      </c>
      <c r="AE14" s="27">
        <f t="shared" si="4"/>
        <v>100.00000000000001</v>
      </c>
      <c r="AF14" s="173"/>
      <c r="AG14" s="27">
        <f t="shared" si="4"/>
        <v>100</v>
      </c>
      <c r="AH14" s="27">
        <f t="shared" si="4"/>
        <v>99.99</v>
      </c>
      <c r="AI14" s="27">
        <f t="shared" si="4"/>
        <v>100.00000000000001</v>
      </c>
      <c r="AJ14" s="27">
        <f t="shared" si="4"/>
        <v>100.00000000000001</v>
      </c>
      <c r="AK14" s="173"/>
      <c r="AL14" s="27">
        <f t="shared" si="4"/>
        <v>99.99999999999999</v>
      </c>
      <c r="AM14" s="173"/>
      <c r="AN14" s="27">
        <f t="shared" si="4"/>
        <v>99.5</v>
      </c>
      <c r="AO14" s="173"/>
      <c r="AP14" s="27">
        <f t="shared" si="4"/>
        <v>100</v>
      </c>
      <c r="AQ14" s="173"/>
      <c r="AR14" s="27">
        <f t="shared" si="4"/>
        <v>100</v>
      </c>
      <c r="AS14" s="27">
        <f t="shared" si="4"/>
        <v>100.01</v>
      </c>
      <c r="AT14" s="173"/>
      <c r="AU14" s="27">
        <f t="shared" si="4"/>
        <v>99.99999999999999</v>
      </c>
      <c r="AV14" s="173"/>
      <c r="AW14" s="27">
        <f t="shared" si="4"/>
        <v>100</v>
      </c>
      <c r="AX14" s="173"/>
      <c r="AY14" s="27">
        <f t="shared" si="4"/>
        <v>100</v>
      </c>
      <c r="AZ14" s="27">
        <f t="shared" si="4"/>
        <v>100</v>
      </c>
      <c r="BA14" s="173"/>
      <c r="BB14" s="27">
        <f t="shared" si="4"/>
        <v>99.99999999999999</v>
      </c>
      <c r="BC14" s="27">
        <f t="shared" si="4"/>
        <v>100</v>
      </c>
      <c r="BD14" s="173"/>
      <c r="BE14" s="27">
        <f t="shared" si="4"/>
        <v>99.89999999999999</v>
      </c>
      <c r="BF14" s="173"/>
      <c r="BG14" s="27">
        <f t="shared" si="4"/>
        <v>100</v>
      </c>
      <c r="BH14" s="173"/>
      <c r="BI14" s="93">
        <f t="shared" si="4"/>
        <v>100</v>
      </c>
      <c r="BJ14" s="173"/>
      <c r="BK14" s="27">
        <f t="shared" si="4"/>
        <v>100</v>
      </c>
      <c r="BL14" s="27">
        <f t="shared" si="4"/>
        <v>100</v>
      </c>
      <c r="BM14" s="173"/>
      <c r="BN14" s="173"/>
      <c r="BO14" s="27">
        <f t="shared" si="4"/>
        <v>100</v>
      </c>
      <c r="BP14" s="27">
        <f t="shared" si="4"/>
        <v>100</v>
      </c>
      <c r="BQ14" s="27">
        <f t="shared" si="4"/>
        <v>100.07000000000001</v>
      </c>
      <c r="BR14" s="27">
        <f t="shared" si="4"/>
        <v>100</v>
      </c>
      <c r="BS14" s="27">
        <f t="shared" si="4"/>
        <v>100.60999999999999</v>
      </c>
      <c r="BT14" s="173">
        <f t="shared" si="4"/>
        <v>0</v>
      </c>
      <c r="BU14" s="173">
        <f t="shared" si="4"/>
        <v>0</v>
      </c>
      <c r="BV14" s="173"/>
      <c r="BW14" s="27">
        <f t="shared" si="4"/>
        <v>100.00000000000001</v>
      </c>
      <c r="BX14" s="27">
        <f t="shared" si="4"/>
        <v>100</v>
      </c>
      <c r="BY14" s="27">
        <f t="shared" si="4"/>
        <v>100</v>
      </c>
      <c r="BZ14" s="173"/>
      <c r="CA14" s="93"/>
      <c r="CB14" s="173">
        <f aca="true" t="shared" si="5" ref="CB14:CT14">CB8+CB9+CB10+CB11+CB12+CB13</f>
        <v>100</v>
      </c>
      <c r="CC14" s="173">
        <f t="shared" si="5"/>
        <v>100</v>
      </c>
      <c r="CD14" s="27">
        <f t="shared" si="5"/>
        <v>100</v>
      </c>
      <c r="CE14" s="27">
        <f t="shared" si="5"/>
        <v>100</v>
      </c>
      <c r="CF14" s="173"/>
      <c r="CG14" s="27">
        <f t="shared" si="5"/>
        <v>100</v>
      </c>
      <c r="CH14" s="27">
        <f t="shared" si="5"/>
        <v>100</v>
      </c>
      <c r="CI14" s="27">
        <f t="shared" si="5"/>
        <v>99.99999999999999</v>
      </c>
      <c r="CJ14" s="27">
        <f t="shared" si="5"/>
        <v>100</v>
      </c>
      <c r="CK14" s="27">
        <f t="shared" si="5"/>
        <v>100</v>
      </c>
      <c r="CL14" s="27">
        <f t="shared" si="5"/>
        <v>0</v>
      </c>
      <c r="CM14" s="27">
        <f t="shared" si="5"/>
        <v>100.00999999999999</v>
      </c>
      <c r="CN14" s="27">
        <f t="shared" si="5"/>
        <v>100</v>
      </c>
      <c r="CO14" s="27">
        <f t="shared" si="5"/>
        <v>100.1</v>
      </c>
      <c r="CP14" s="27">
        <f t="shared" si="5"/>
        <v>100</v>
      </c>
      <c r="CQ14" s="275">
        <f t="shared" si="5"/>
        <v>100</v>
      </c>
      <c r="CR14" s="276"/>
      <c r="CS14" s="27">
        <f>CS8+CS9+CS10+CS11+CS12+CS13</f>
        <v>100</v>
      </c>
      <c r="CT14" s="27">
        <f t="shared" si="5"/>
        <v>100</v>
      </c>
      <c r="CV14" s="201">
        <f>SUM(CV8:CV13)</f>
        <v>100.01236363636365</v>
      </c>
      <c r="CW14" s="201"/>
      <c r="CX14" s="201">
        <f>SUM(CX8:CX13)</f>
        <v>100.04733333333333</v>
      </c>
      <c r="CY14" s="201">
        <f>SUM(CY8:CY13)</f>
        <v>99.99925</v>
      </c>
      <c r="CZ14" s="269"/>
      <c r="DA14" s="277"/>
    </row>
    <row r="15" spans="1:110" ht="18" customHeight="1">
      <c r="A15" s="268" t="s">
        <v>520</v>
      </c>
      <c r="B15" s="28"/>
      <c r="C15" s="269">
        <v>77.3</v>
      </c>
      <c r="D15" s="270"/>
      <c r="E15" s="269">
        <v>81.8</v>
      </c>
      <c r="F15" s="270">
        <v>83.9</v>
      </c>
      <c r="G15" s="270">
        <v>71.4</v>
      </c>
      <c r="H15" s="270">
        <v>100</v>
      </c>
      <c r="I15" s="270">
        <v>0</v>
      </c>
      <c r="J15" s="270">
        <v>64.3</v>
      </c>
      <c r="K15" s="269">
        <v>76.35</v>
      </c>
      <c r="L15" s="270"/>
      <c r="M15" s="269">
        <v>61.3</v>
      </c>
      <c r="N15" s="270"/>
      <c r="O15" s="270"/>
      <c r="P15" s="270"/>
      <c r="Q15" s="269">
        <v>79</v>
      </c>
      <c r="R15" s="270">
        <v>100</v>
      </c>
      <c r="S15" s="269">
        <v>70</v>
      </c>
      <c r="T15" s="270"/>
      <c r="U15" s="269">
        <v>85.98</v>
      </c>
      <c r="V15" s="270"/>
      <c r="W15" s="269">
        <v>81.89</v>
      </c>
      <c r="X15" s="270"/>
      <c r="Y15" s="270"/>
      <c r="Z15" s="269">
        <v>77</v>
      </c>
      <c r="AA15" s="270"/>
      <c r="AB15" s="269">
        <v>89.3</v>
      </c>
      <c r="AC15" s="270"/>
      <c r="AD15" s="271">
        <v>74.94</v>
      </c>
      <c r="AE15" s="269">
        <v>70</v>
      </c>
      <c r="AF15" s="270"/>
      <c r="AG15" s="269">
        <v>72.43</v>
      </c>
      <c r="AH15" s="269">
        <v>75.61</v>
      </c>
      <c r="AI15" s="269">
        <v>66.69</v>
      </c>
      <c r="AJ15" s="269">
        <v>60.33</v>
      </c>
      <c r="AK15" s="270"/>
      <c r="AL15" s="269">
        <v>75.92</v>
      </c>
      <c r="AM15" s="270"/>
      <c r="AN15" s="269">
        <v>67.1</v>
      </c>
      <c r="AO15" s="270"/>
      <c r="AP15" s="269">
        <v>68.9</v>
      </c>
      <c r="AQ15" s="270"/>
      <c r="AR15" s="269">
        <v>79</v>
      </c>
      <c r="AS15" s="269">
        <v>86.81</v>
      </c>
      <c r="AT15" s="270"/>
      <c r="AU15" s="269">
        <v>91.28</v>
      </c>
      <c r="AV15" s="270"/>
      <c r="AW15" s="269">
        <v>71.3</v>
      </c>
      <c r="AX15" s="270"/>
      <c r="AY15" s="269">
        <v>94.79</v>
      </c>
      <c r="AZ15" s="269">
        <v>68.7</v>
      </c>
      <c r="BA15" s="270"/>
      <c r="BB15" s="269">
        <v>55.17</v>
      </c>
      <c r="BC15" s="269">
        <v>81.23</v>
      </c>
      <c r="BD15" s="270"/>
      <c r="BE15" s="269">
        <v>92.1</v>
      </c>
      <c r="BF15" s="270"/>
      <c r="BG15" s="269">
        <v>68</v>
      </c>
      <c r="BH15" s="270"/>
      <c r="BI15" s="271">
        <v>93.4</v>
      </c>
      <c r="BJ15" s="270"/>
      <c r="BK15" s="269">
        <v>92.5</v>
      </c>
      <c r="BL15" s="269">
        <v>93.3</v>
      </c>
      <c r="BM15" s="270"/>
      <c r="BN15" s="270"/>
      <c r="BO15" s="269">
        <v>74</v>
      </c>
      <c r="BP15" s="269">
        <v>86.84</v>
      </c>
      <c r="BQ15" s="269">
        <v>78.34</v>
      </c>
      <c r="BR15" s="269">
        <v>95.3</v>
      </c>
      <c r="BS15" s="269">
        <v>80.26</v>
      </c>
      <c r="BT15" s="270">
        <v>80.59</v>
      </c>
      <c r="BU15" s="270">
        <v>77.48</v>
      </c>
      <c r="BV15" s="270"/>
      <c r="BW15" s="269">
        <v>80.95</v>
      </c>
      <c r="BX15" s="269">
        <v>71.6</v>
      </c>
      <c r="BY15" s="269">
        <v>77.79</v>
      </c>
      <c r="BZ15" s="270"/>
      <c r="CA15" s="271"/>
      <c r="CB15" s="272">
        <v>82.4</v>
      </c>
      <c r="CC15" s="270">
        <v>72.5</v>
      </c>
      <c r="CD15" s="269">
        <v>83.6</v>
      </c>
      <c r="CE15" s="269">
        <v>86.16</v>
      </c>
      <c r="CF15" s="272"/>
      <c r="CG15" s="269">
        <v>81</v>
      </c>
      <c r="CH15" s="271">
        <v>94.99</v>
      </c>
      <c r="CI15" s="269">
        <v>78.4</v>
      </c>
      <c r="CJ15" s="269">
        <v>97.3</v>
      </c>
      <c r="CK15" s="269">
        <v>88.49</v>
      </c>
      <c r="CL15" s="269">
        <v>95.6</v>
      </c>
      <c r="CM15" s="271">
        <v>100</v>
      </c>
      <c r="CN15" s="269">
        <v>98.47</v>
      </c>
      <c r="CO15" s="269">
        <v>91.8</v>
      </c>
      <c r="CP15" s="269">
        <v>100</v>
      </c>
      <c r="CQ15" s="273">
        <v>100</v>
      </c>
      <c r="CR15" s="274"/>
      <c r="CS15" s="269">
        <v>97.4</v>
      </c>
      <c r="CT15" s="269">
        <v>100</v>
      </c>
      <c r="CV15" s="269">
        <f>+(C15+E15+K15+M15+Q15+S15+U15+W15+Z15+AB15+AD15+AE15+AG15+AH15+AI15+AJ15+AL15+AN15+AP15+AR15+AS15+AU15+AW15+AY15+AZ15+BB15+BC15+BE15+BG15+BI15+BK15+BL15+BO15+BP15+BQ15+BR15+BS15+BW15+BX15+BY15+CB15+CC15+CD15+CE15+CG15+CH15+CI15+CJ15+CK15+CL15+CM15+CN15+CO15+CP15+CQ15+CS15+CT15)/57</f>
        <v>81.97561403508772</v>
      </c>
      <c r="CW15" s="269"/>
      <c r="CX15" s="269">
        <f>+(E15+AR15+BK15+BO15+BS15+BX15+CB15+CC15+CG15+CH15+CK15+CN15+CO15+CP15+CS15)/15</f>
        <v>85.74733333333333</v>
      </c>
      <c r="CY15" s="269">
        <f>+(C15+K15+M15+Q15+S15+U15+W15+Z15+AB15+AD15+AE15+AG15+AH15+AI15+AJ15+AL15+AN15+AP15+AS15+AU15+AW15+AY15+AZ15+BB15+BC15+BE15+BG15+BI15+BL15+BP15+BQ15+BR15+BW15+BY15+CD15+CE15+CI15+CJ15+CL15+CM15+CQ15+CT15)/42</f>
        <v>80.62857142857143</v>
      </c>
      <c r="CZ15" s="269"/>
      <c r="DA15" s="269"/>
      <c r="DB15" s="269"/>
      <c r="DC15" s="269"/>
      <c r="DD15" s="269"/>
      <c r="DE15" s="269"/>
      <c r="DF15" s="269"/>
    </row>
    <row r="16" spans="1:110" ht="12.75">
      <c r="A16" s="168" t="s">
        <v>521</v>
      </c>
      <c r="B16" s="28"/>
      <c r="C16" s="269">
        <v>22.7</v>
      </c>
      <c r="D16" s="270"/>
      <c r="E16" s="269">
        <v>18.2</v>
      </c>
      <c r="F16" s="270">
        <v>16.1</v>
      </c>
      <c r="G16" s="270">
        <v>28.6</v>
      </c>
      <c r="H16" s="270"/>
      <c r="I16" s="270">
        <v>0</v>
      </c>
      <c r="J16" s="270">
        <v>35.7</v>
      </c>
      <c r="K16" s="269">
        <v>23.65</v>
      </c>
      <c r="L16" s="270"/>
      <c r="M16" s="269">
        <v>38.7</v>
      </c>
      <c r="N16" s="270"/>
      <c r="O16" s="270"/>
      <c r="P16" s="270"/>
      <c r="Q16" s="269">
        <v>21</v>
      </c>
      <c r="R16" s="270">
        <v>0</v>
      </c>
      <c r="S16" s="269">
        <v>30</v>
      </c>
      <c r="T16" s="270"/>
      <c r="U16" s="269">
        <v>14.02</v>
      </c>
      <c r="V16" s="270"/>
      <c r="W16" s="269">
        <v>18.11</v>
      </c>
      <c r="X16" s="270"/>
      <c r="Y16" s="270"/>
      <c r="Z16" s="269">
        <v>23</v>
      </c>
      <c r="AA16" s="270"/>
      <c r="AB16" s="269">
        <v>10.7</v>
      </c>
      <c r="AC16" s="270"/>
      <c r="AD16" s="271">
        <v>25.06</v>
      </c>
      <c r="AE16" s="269">
        <v>30</v>
      </c>
      <c r="AF16" s="270"/>
      <c r="AG16" s="269">
        <v>27.57</v>
      </c>
      <c r="AH16" s="269">
        <v>24.39</v>
      </c>
      <c r="AI16" s="269">
        <v>33.31</v>
      </c>
      <c r="AJ16" s="269">
        <v>39.67</v>
      </c>
      <c r="AK16" s="270"/>
      <c r="AL16" s="269">
        <v>24.08</v>
      </c>
      <c r="AM16" s="270"/>
      <c r="AN16" s="269">
        <v>32.9</v>
      </c>
      <c r="AO16" s="270"/>
      <c r="AP16" s="269">
        <v>31.1</v>
      </c>
      <c r="AQ16" s="270"/>
      <c r="AR16" s="269">
        <v>21</v>
      </c>
      <c r="AS16" s="269">
        <v>13.19</v>
      </c>
      <c r="AT16" s="270"/>
      <c r="AU16" s="269">
        <v>8.72</v>
      </c>
      <c r="AV16" s="270"/>
      <c r="AW16" s="269">
        <v>28.7</v>
      </c>
      <c r="AX16" s="270"/>
      <c r="AY16" s="269">
        <v>5.21</v>
      </c>
      <c r="AZ16" s="269">
        <v>31.3</v>
      </c>
      <c r="BA16" s="270"/>
      <c r="BB16" s="269">
        <v>44.83</v>
      </c>
      <c r="BC16" s="269">
        <v>18.77</v>
      </c>
      <c r="BD16" s="270"/>
      <c r="BE16" s="269">
        <v>7.9</v>
      </c>
      <c r="BF16" s="270"/>
      <c r="BG16" s="269">
        <v>32</v>
      </c>
      <c r="BH16" s="270"/>
      <c r="BI16" s="271">
        <v>6.6</v>
      </c>
      <c r="BJ16" s="270"/>
      <c r="BK16" s="269">
        <v>7.5</v>
      </c>
      <c r="BL16" s="269">
        <v>6.7</v>
      </c>
      <c r="BM16" s="270"/>
      <c r="BN16" s="270"/>
      <c r="BO16" s="269">
        <v>26</v>
      </c>
      <c r="BP16" s="269">
        <v>13.16</v>
      </c>
      <c r="BQ16" s="269">
        <v>21.66</v>
      </c>
      <c r="BR16" s="269">
        <v>4.7</v>
      </c>
      <c r="BS16" s="269">
        <v>19.74</v>
      </c>
      <c r="BT16" s="272">
        <v>19.41</v>
      </c>
      <c r="BU16" s="272">
        <v>22.52</v>
      </c>
      <c r="BV16" s="272"/>
      <c r="BW16" s="269">
        <v>19.05</v>
      </c>
      <c r="BX16" s="269">
        <v>28.4</v>
      </c>
      <c r="BY16" s="269">
        <v>22.21</v>
      </c>
      <c r="BZ16" s="272"/>
      <c r="CA16" s="271"/>
      <c r="CB16" s="272">
        <v>17.6</v>
      </c>
      <c r="CC16" s="272">
        <v>27.5</v>
      </c>
      <c r="CD16" s="269">
        <v>16.4</v>
      </c>
      <c r="CE16" s="269">
        <v>13.84</v>
      </c>
      <c r="CF16" s="272"/>
      <c r="CG16" s="269">
        <v>19</v>
      </c>
      <c r="CH16" s="271">
        <v>5</v>
      </c>
      <c r="CI16" s="269">
        <v>21.6</v>
      </c>
      <c r="CJ16" s="269">
        <v>2.7</v>
      </c>
      <c r="CK16" s="269">
        <v>11.51</v>
      </c>
      <c r="CL16" s="269">
        <v>4.4</v>
      </c>
      <c r="CM16" s="271">
        <v>0</v>
      </c>
      <c r="CN16" s="269">
        <v>1.53</v>
      </c>
      <c r="CO16" s="269">
        <v>8.2</v>
      </c>
      <c r="CP16" s="269">
        <v>0</v>
      </c>
      <c r="CQ16" s="273">
        <v>0</v>
      </c>
      <c r="CR16" s="274"/>
      <c r="CS16" s="269">
        <v>2.6</v>
      </c>
      <c r="CT16" s="269">
        <v>0</v>
      </c>
      <c r="CV16" s="269">
        <f>+(C16+E16+K16+M16+Q16+S16+U16+W16+Z16+AB16+AD16+AE16+AG16+AH16+AI16+AJ16+AL16+AN16+AP16+AR16+AS16+AU16+AW16+AY16+AZ16+BB16+BC16+BE16+BG16+BI16+BK16+BL16+BO16+BP16+BQ16+BR16+BS16+BW16+BX16+BY16+CB16+CC16+CD16+CE16+CG16+CH16+CI16+CJ16+CK16+CL16+CM16+CN16+CO16+CP16+CQ16+CS16+CT16)/57</f>
        <v>18.02421052631579</v>
      </c>
      <c r="CW16" s="269"/>
      <c r="CX16" s="269">
        <f>+(E16+AR16+BK16+BO16+BS16+BX16+CB16+CC16+CG16+CH16+CK16+CN16+CO16+CP16+CS16)/15</f>
        <v>14.251999999999999</v>
      </c>
      <c r="CY16" s="269">
        <f>+(C16+K16+M16+Q16+S16+U16+W16+Z16+AB16+AD16+AE16+AG16+AH16+AI16+AJ16+AL16+AN16+AP16+AS16+AU16+AW16+AY16+AZ16+BB16+BC16+BE16+BG16+BI16+BL16+BP16+BQ16+BR16+BW16+BY16+CD16+CE16+CI16+CJ16+CL16+CM16+CQ16+CT16)/42</f>
        <v>19.371428571428574</v>
      </c>
      <c r="CZ16" s="269"/>
      <c r="DA16" s="269"/>
      <c r="DB16" s="269"/>
      <c r="DC16" s="269"/>
      <c r="DD16" s="269"/>
      <c r="DE16" s="269"/>
      <c r="DF16" s="269"/>
    </row>
    <row r="17" spans="1:105" ht="12.75">
      <c r="A17" s="15" t="s">
        <v>519</v>
      </c>
      <c r="B17" s="28">
        <v>4</v>
      </c>
      <c r="C17" s="27">
        <f aca="true" t="shared" si="6" ref="C17:J17">C15+C16</f>
        <v>100</v>
      </c>
      <c r="D17" s="173"/>
      <c r="E17" s="27">
        <f t="shared" si="6"/>
        <v>100</v>
      </c>
      <c r="F17" s="173">
        <f t="shared" si="6"/>
        <v>100</v>
      </c>
      <c r="G17" s="173">
        <f t="shared" si="6"/>
        <v>100</v>
      </c>
      <c r="H17" s="173">
        <f t="shared" si="6"/>
        <v>100</v>
      </c>
      <c r="I17" s="173">
        <f t="shared" si="6"/>
        <v>0</v>
      </c>
      <c r="J17" s="173">
        <f t="shared" si="6"/>
        <v>100</v>
      </c>
      <c r="K17" s="27">
        <f>K15+K16</f>
        <v>100</v>
      </c>
      <c r="L17" s="173"/>
      <c r="M17" s="27">
        <f>M15+M16</f>
        <v>100</v>
      </c>
      <c r="N17" s="173"/>
      <c r="O17" s="173"/>
      <c r="P17" s="173"/>
      <c r="Q17" s="27">
        <f>Q15+Q16</f>
        <v>100</v>
      </c>
      <c r="R17" s="173">
        <f>R15+R16</f>
        <v>100</v>
      </c>
      <c r="S17" s="27">
        <f>S15+S16</f>
        <v>100</v>
      </c>
      <c r="T17" s="173"/>
      <c r="U17" s="27">
        <f>U15+U16</f>
        <v>100</v>
      </c>
      <c r="V17" s="173"/>
      <c r="W17" s="27">
        <f>W15+W16</f>
        <v>100</v>
      </c>
      <c r="X17" s="173"/>
      <c r="Y17" s="173"/>
      <c r="Z17" s="27">
        <f aca="true" t="shared" si="7" ref="Z17:BL17">Z15+Z16</f>
        <v>100</v>
      </c>
      <c r="AA17" s="173"/>
      <c r="AB17" s="27">
        <f t="shared" si="7"/>
        <v>100</v>
      </c>
      <c r="AC17" s="173"/>
      <c r="AD17" s="27">
        <f t="shared" si="7"/>
        <v>100</v>
      </c>
      <c r="AE17" s="27">
        <f t="shared" si="7"/>
        <v>100</v>
      </c>
      <c r="AF17" s="173"/>
      <c r="AG17" s="93">
        <f t="shared" si="7"/>
        <v>100</v>
      </c>
      <c r="AH17" s="27">
        <f t="shared" si="7"/>
        <v>100</v>
      </c>
      <c r="AI17" s="27">
        <f t="shared" si="7"/>
        <v>100</v>
      </c>
      <c r="AJ17" s="27">
        <f t="shared" si="7"/>
        <v>100</v>
      </c>
      <c r="AK17" s="173"/>
      <c r="AL17" s="27">
        <f t="shared" si="7"/>
        <v>100</v>
      </c>
      <c r="AM17" s="173"/>
      <c r="AN17" s="27">
        <f t="shared" si="7"/>
        <v>100</v>
      </c>
      <c r="AO17" s="173"/>
      <c r="AP17" s="27">
        <f t="shared" si="7"/>
        <v>100</v>
      </c>
      <c r="AQ17" s="173"/>
      <c r="AR17" s="27">
        <f t="shared" si="7"/>
        <v>100</v>
      </c>
      <c r="AS17" s="27">
        <f t="shared" si="7"/>
        <v>100</v>
      </c>
      <c r="AT17" s="173"/>
      <c r="AU17" s="27">
        <f t="shared" si="7"/>
        <v>100</v>
      </c>
      <c r="AV17" s="173"/>
      <c r="AW17" s="27">
        <f t="shared" si="7"/>
        <v>100</v>
      </c>
      <c r="AX17" s="173"/>
      <c r="AY17" s="27">
        <f t="shared" si="7"/>
        <v>100</v>
      </c>
      <c r="AZ17" s="27">
        <f t="shared" si="7"/>
        <v>100</v>
      </c>
      <c r="BA17" s="173"/>
      <c r="BB17" s="27">
        <f t="shared" si="7"/>
        <v>100</v>
      </c>
      <c r="BC17" s="27">
        <f t="shared" si="7"/>
        <v>100</v>
      </c>
      <c r="BD17" s="173"/>
      <c r="BE17" s="27">
        <f t="shared" si="7"/>
        <v>100</v>
      </c>
      <c r="BF17" s="173"/>
      <c r="BG17" s="27">
        <f t="shared" si="7"/>
        <v>100</v>
      </c>
      <c r="BH17" s="173"/>
      <c r="BI17" s="93">
        <f t="shared" si="7"/>
        <v>100</v>
      </c>
      <c r="BJ17" s="173"/>
      <c r="BK17" s="27">
        <f t="shared" si="7"/>
        <v>100</v>
      </c>
      <c r="BL17" s="27">
        <f t="shared" si="7"/>
        <v>100</v>
      </c>
      <c r="BM17" s="173"/>
      <c r="BN17" s="173"/>
      <c r="BO17" s="27">
        <f aca="true" t="shared" si="8" ref="BO17:BY17">BO15+BO16</f>
        <v>100</v>
      </c>
      <c r="BP17" s="27">
        <f t="shared" si="8"/>
        <v>100</v>
      </c>
      <c r="BQ17" s="93">
        <f t="shared" si="8"/>
        <v>100</v>
      </c>
      <c r="BR17" s="27">
        <f t="shared" si="8"/>
        <v>100</v>
      </c>
      <c r="BS17" s="27">
        <f t="shared" si="8"/>
        <v>100</v>
      </c>
      <c r="BT17" s="173">
        <f t="shared" si="8"/>
        <v>100</v>
      </c>
      <c r="BU17" s="173">
        <f t="shared" si="8"/>
        <v>100</v>
      </c>
      <c r="BV17" s="173"/>
      <c r="BW17" s="27">
        <f t="shared" si="8"/>
        <v>100</v>
      </c>
      <c r="BX17" s="27">
        <f t="shared" si="8"/>
        <v>100</v>
      </c>
      <c r="BY17" s="27">
        <f t="shared" si="8"/>
        <v>100</v>
      </c>
      <c r="BZ17" s="173"/>
      <c r="CA17" s="93"/>
      <c r="CB17" s="173">
        <f aca="true" t="shared" si="9" ref="CB17:CT17">CB15+CB16</f>
        <v>100</v>
      </c>
      <c r="CC17" s="173">
        <f t="shared" si="9"/>
        <v>100</v>
      </c>
      <c r="CD17" s="27">
        <f t="shared" si="9"/>
        <v>100</v>
      </c>
      <c r="CE17" s="27">
        <f t="shared" si="9"/>
        <v>100</v>
      </c>
      <c r="CF17" s="173"/>
      <c r="CG17" s="27">
        <f t="shared" si="9"/>
        <v>100</v>
      </c>
      <c r="CH17" s="27">
        <f t="shared" si="9"/>
        <v>99.99</v>
      </c>
      <c r="CI17" s="27">
        <f t="shared" si="9"/>
        <v>100</v>
      </c>
      <c r="CJ17" s="27">
        <f t="shared" si="9"/>
        <v>100</v>
      </c>
      <c r="CK17" s="27">
        <f t="shared" si="9"/>
        <v>100</v>
      </c>
      <c r="CL17" s="27">
        <f t="shared" si="9"/>
        <v>100</v>
      </c>
      <c r="CM17" s="27">
        <f t="shared" si="9"/>
        <v>100</v>
      </c>
      <c r="CN17" s="27">
        <f t="shared" si="9"/>
        <v>100</v>
      </c>
      <c r="CO17" s="27">
        <f t="shared" si="9"/>
        <v>100</v>
      </c>
      <c r="CP17" s="27">
        <f t="shared" si="9"/>
        <v>100</v>
      </c>
      <c r="CQ17" s="275">
        <f t="shared" si="9"/>
        <v>100</v>
      </c>
      <c r="CR17" s="276"/>
      <c r="CS17" s="27">
        <f t="shared" si="9"/>
        <v>100</v>
      </c>
      <c r="CT17" s="27">
        <f t="shared" si="9"/>
        <v>100</v>
      </c>
      <c r="CV17" s="27">
        <f>SUM(CV15:CV16)</f>
        <v>99.9998245614035</v>
      </c>
      <c r="CW17" s="269"/>
      <c r="CX17" s="27">
        <f>SUM(CX15:CX16)</f>
        <v>99.99933333333333</v>
      </c>
      <c r="CY17" s="27">
        <f>SUM(CY15:CY16)</f>
        <v>100</v>
      </c>
      <c r="CZ17" s="201"/>
      <c r="DA17" s="201"/>
    </row>
    <row r="18" spans="1:105" ht="17.25" customHeight="1">
      <c r="A18" s="168" t="s">
        <v>522</v>
      </c>
      <c r="B18" s="28">
        <v>5</v>
      </c>
      <c r="C18" s="201">
        <v>24676</v>
      </c>
      <c r="D18" s="202">
        <v>1427</v>
      </c>
      <c r="E18" s="201">
        <v>24000</v>
      </c>
      <c r="F18" s="202">
        <v>10652</v>
      </c>
      <c r="G18" s="202">
        <v>13271</v>
      </c>
      <c r="H18" s="202">
        <v>65</v>
      </c>
      <c r="I18" s="202">
        <v>12</v>
      </c>
      <c r="J18" s="202">
        <v>3876</v>
      </c>
      <c r="K18" s="201">
        <v>16303</v>
      </c>
      <c r="L18" s="202">
        <v>260</v>
      </c>
      <c r="M18" s="201">
        <f>9156+1630</f>
        <v>10786</v>
      </c>
      <c r="N18" s="202"/>
      <c r="O18" s="202"/>
      <c r="P18" s="202"/>
      <c r="Q18" s="201">
        <v>3897</v>
      </c>
      <c r="R18" s="202">
        <v>68</v>
      </c>
      <c r="S18" s="201">
        <v>6785</v>
      </c>
      <c r="T18" s="202"/>
      <c r="U18" s="201">
        <v>7643</v>
      </c>
      <c r="V18" s="202">
        <v>150</v>
      </c>
      <c r="W18" s="201">
        <f>838+1054</f>
        <v>1892</v>
      </c>
      <c r="X18" s="202">
        <v>838</v>
      </c>
      <c r="Y18" s="202">
        <v>1054</v>
      </c>
      <c r="Z18" s="201">
        <v>4936</v>
      </c>
      <c r="AA18" s="202">
        <v>686</v>
      </c>
      <c r="AB18" s="201">
        <v>3114</v>
      </c>
      <c r="AC18" s="202">
        <v>1701</v>
      </c>
      <c r="AD18" s="201">
        <v>5490</v>
      </c>
      <c r="AE18" s="201">
        <v>2852</v>
      </c>
      <c r="AF18" s="202">
        <v>106</v>
      </c>
      <c r="AG18" s="201">
        <v>1159</v>
      </c>
      <c r="AH18" s="201">
        <v>4812</v>
      </c>
      <c r="AI18" s="201">
        <v>3535</v>
      </c>
      <c r="AJ18" s="201">
        <v>1722</v>
      </c>
      <c r="AK18" s="202">
        <v>344</v>
      </c>
      <c r="AL18" s="201">
        <v>1641</v>
      </c>
      <c r="AM18" s="202">
        <v>35</v>
      </c>
      <c r="AN18" s="201">
        <v>7734</v>
      </c>
      <c r="AO18" s="202">
        <v>7734</v>
      </c>
      <c r="AP18" s="201">
        <v>8646</v>
      </c>
      <c r="AQ18" s="202">
        <v>7039</v>
      </c>
      <c r="AR18" s="201">
        <v>958</v>
      </c>
      <c r="AS18" s="201">
        <v>2688</v>
      </c>
      <c r="AT18" s="202">
        <v>38</v>
      </c>
      <c r="AU18" s="201">
        <v>356</v>
      </c>
      <c r="AV18" s="202">
        <v>2</v>
      </c>
      <c r="AW18" s="201">
        <v>6428</v>
      </c>
      <c r="AX18" s="202">
        <v>6428</v>
      </c>
      <c r="AY18" s="204">
        <v>283</v>
      </c>
      <c r="AZ18" s="201">
        <v>1181</v>
      </c>
      <c r="BA18" s="202">
        <v>1058</v>
      </c>
      <c r="BB18" s="201">
        <v>2132</v>
      </c>
      <c r="BC18" s="201">
        <v>4365</v>
      </c>
      <c r="BD18" s="202">
        <v>3260</v>
      </c>
      <c r="BE18" s="201">
        <v>917</v>
      </c>
      <c r="BF18" s="202"/>
      <c r="BG18" s="201">
        <v>401</v>
      </c>
      <c r="BH18" s="202">
        <v>165</v>
      </c>
      <c r="BI18" s="204">
        <v>551</v>
      </c>
      <c r="BJ18" s="202"/>
      <c r="BK18" s="201">
        <v>2314</v>
      </c>
      <c r="BL18" s="201">
        <v>0</v>
      </c>
      <c r="BM18" s="202"/>
      <c r="BN18" s="202"/>
      <c r="BO18" s="201">
        <v>0</v>
      </c>
      <c r="BP18" s="201">
        <v>0</v>
      </c>
      <c r="BQ18" s="204">
        <v>652</v>
      </c>
      <c r="BR18" s="201">
        <v>777</v>
      </c>
      <c r="BS18" s="204">
        <v>10761</v>
      </c>
      <c r="BT18" s="220">
        <v>6919</v>
      </c>
      <c r="BU18" s="220">
        <v>3842</v>
      </c>
      <c r="BV18" s="220">
        <v>125</v>
      </c>
      <c r="BW18" s="204">
        <v>143</v>
      </c>
      <c r="BX18" s="201">
        <v>320</v>
      </c>
      <c r="BY18" s="201">
        <v>1378</v>
      </c>
      <c r="BZ18" s="220">
        <v>1378</v>
      </c>
      <c r="CA18" s="204"/>
      <c r="CB18" s="220">
        <v>156</v>
      </c>
      <c r="CC18" s="220">
        <v>337</v>
      </c>
      <c r="CD18" s="201">
        <v>0</v>
      </c>
      <c r="CE18" s="201">
        <v>321</v>
      </c>
      <c r="CF18" s="220">
        <v>211</v>
      </c>
      <c r="CG18" s="201">
        <v>353</v>
      </c>
      <c r="CH18" s="201">
        <v>180</v>
      </c>
      <c r="CI18" s="201">
        <v>0</v>
      </c>
      <c r="CJ18" s="201">
        <v>0</v>
      </c>
      <c r="CK18" s="201">
        <v>165</v>
      </c>
      <c r="CL18" s="201">
        <v>0</v>
      </c>
      <c r="CM18" s="201">
        <v>0</v>
      </c>
      <c r="CN18" s="201">
        <v>54</v>
      </c>
      <c r="CO18" s="201">
        <v>27</v>
      </c>
      <c r="CP18" s="201">
        <v>0</v>
      </c>
      <c r="CQ18" s="278">
        <v>0</v>
      </c>
      <c r="CR18" s="279">
        <v>0</v>
      </c>
      <c r="CS18" s="204">
        <v>89</v>
      </c>
      <c r="CT18" s="201">
        <v>0</v>
      </c>
      <c r="CV18" s="201">
        <f>+(C18+E18+K18+M18+Q18+S18+U18+W18+Z18+AB18+AD18+AE18+AG18+AH18+AI18+AJ18+AL18+AN18+AP18+AR18+AS18+AU18+AW18+AY18+AZ18+BB18+BC18+BE18+BG18+BI18+BK18+BL18+BO18+BP18+BQ18+BR18+BS18+BW18+BX18+BY18+CB18+CC18+CD18+CE18+CG18+CH18+CI18+CJ18+CK18+CL18+CM18+CN18+CO18+CP18+CQ18+CS18+CT18)</f>
        <v>179910</v>
      </c>
      <c r="CW18" s="201"/>
      <c r="CX18" s="27">
        <f>+E18+AR18+BK18+BS18+BX18+CB18+CC18+CG18+CH18+CK18+CN18+CO18+CP18+CS18</f>
        <v>39714</v>
      </c>
      <c r="CY18" s="27">
        <f>+C18+K18+M18+Q18+S18+U18+W18+Z18+AB18+AD18+AE18+AG18+AH18+AI18+AJ18+AL18+AN18+AP18+AS18+AU18+AW18+AY18+AZ18+BB18+BC18+BE18+BG18+BI18+BL18+BP18+BQ18+BR18+BW18+BY18+CD18+CE18+CI18+CJ18+CL18+CM18+CQ18+CT18</f>
        <v>140196</v>
      </c>
      <c r="CZ18" s="201"/>
      <c r="DA18" s="201"/>
    </row>
    <row r="19" spans="1:105" ht="12" customHeight="1">
      <c r="A19" s="168" t="s">
        <v>523</v>
      </c>
      <c r="B19" s="28">
        <v>6</v>
      </c>
      <c r="C19" s="201">
        <v>4676</v>
      </c>
      <c r="D19" s="202">
        <v>1</v>
      </c>
      <c r="E19" s="201">
        <v>7561</v>
      </c>
      <c r="F19" s="202">
        <v>7405</v>
      </c>
      <c r="G19" s="202">
        <v>49</v>
      </c>
      <c r="H19" s="202">
        <v>178</v>
      </c>
      <c r="I19" s="202">
        <v>26</v>
      </c>
      <c r="J19" s="202">
        <v>0.5</v>
      </c>
      <c r="K19" s="201">
        <v>8217</v>
      </c>
      <c r="L19" s="202">
        <v>3</v>
      </c>
      <c r="M19" s="201">
        <v>3408</v>
      </c>
      <c r="N19" s="202"/>
      <c r="O19" s="202"/>
      <c r="P19" s="202"/>
      <c r="Q19" s="201">
        <v>2684</v>
      </c>
      <c r="R19" s="202">
        <v>0</v>
      </c>
      <c r="S19" s="201">
        <v>2373</v>
      </c>
      <c r="T19" s="202"/>
      <c r="U19" s="201">
        <v>1662</v>
      </c>
      <c r="V19" s="202">
        <v>0</v>
      </c>
      <c r="W19" s="201">
        <f>402+8</f>
        <v>410</v>
      </c>
      <c r="X19" s="202">
        <v>402</v>
      </c>
      <c r="Y19" s="202">
        <v>8</v>
      </c>
      <c r="Z19" s="201">
        <v>434</v>
      </c>
      <c r="AA19" s="202">
        <v>0</v>
      </c>
      <c r="AB19" s="201">
        <v>2100</v>
      </c>
      <c r="AC19" s="202">
        <v>7</v>
      </c>
      <c r="AD19" s="201">
        <v>1192</v>
      </c>
      <c r="AE19" s="201">
        <v>883</v>
      </c>
      <c r="AF19" s="202">
        <v>0</v>
      </c>
      <c r="AG19" s="201">
        <v>180</v>
      </c>
      <c r="AH19" s="201">
        <v>3567</v>
      </c>
      <c r="AI19" s="201">
        <v>1507</v>
      </c>
      <c r="AJ19" s="201">
        <v>109</v>
      </c>
      <c r="AK19" s="202">
        <v>0</v>
      </c>
      <c r="AL19" s="201">
        <v>591</v>
      </c>
      <c r="AM19" s="202">
        <v>0</v>
      </c>
      <c r="AN19" s="201">
        <v>142</v>
      </c>
      <c r="AO19" s="202">
        <v>124</v>
      </c>
      <c r="AP19" s="201">
        <v>140</v>
      </c>
      <c r="AQ19" s="202">
        <v>140</v>
      </c>
      <c r="AR19" s="201">
        <v>410</v>
      </c>
      <c r="AS19" s="201">
        <v>1063</v>
      </c>
      <c r="AT19" s="202">
        <v>0</v>
      </c>
      <c r="AU19" s="201">
        <v>91</v>
      </c>
      <c r="AV19" s="202">
        <v>0</v>
      </c>
      <c r="AW19" s="201">
        <v>124</v>
      </c>
      <c r="AX19" s="202">
        <v>124</v>
      </c>
      <c r="AY19" s="201">
        <v>139</v>
      </c>
      <c r="AZ19" s="201">
        <v>41</v>
      </c>
      <c r="BA19" s="202">
        <v>26</v>
      </c>
      <c r="BB19" s="201">
        <v>743</v>
      </c>
      <c r="BC19" s="201">
        <v>44</v>
      </c>
      <c r="BD19" s="202">
        <v>44</v>
      </c>
      <c r="BE19" s="201">
        <v>565</v>
      </c>
      <c r="BF19" s="202"/>
      <c r="BG19" s="201">
        <v>135</v>
      </c>
      <c r="BH19" s="202">
        <v>0</v>
      </c>
      <c r="BI19" s="204">
        <v>398</v>
      </c>
      <c r="BJ19" s="202"/>
      <c r="BK19" s="201">
        <v>1517</v>
      </c>
      <c r="BL19" s="201">
        <v>205</v>
      </c>
      <c r="BM19" s="202"/>
      <c r="BN19" s="202"/>
      <c r="BO19" s="201">
        <v>92</v>
      </c>
      <c r="BP19" s="201">
        <v>105</v>
      </c>
      <c r="BQ19" s="204">
        <v>142</v>
      </c>
      <c r="BR19" s="201">
        <v>207</v>
      </c>
      <c r="BS19" s="204">
        <v>1.2</v>
      </c>
      <c r="BT19" s="220">
        <v>1.2</v>
      </c>
      <c r="BU19" s="220">
        <v>0</v>
      </c>
      <c r="BV19" s="220">
        <v>10</v>
      </c>
      <c r="BW19" s="204">
        <v>22</v>
      </c>
      <c r="BX19" s="201">
        <v>127</v>
      </c>
      <c r="BY19" s="201">
        <v>5</v>
      </c>
      <c r="BZ19" s="220">
        <v>5</v>
      </c>
      <c r="CA19" s="204"/>
      <c r="CB19" s="220">
        <v>0</v>
      </c>
      <c r="CC19" s="220">
        <v>188</v>
      </c>
      <c r="CD19" s="201">
        <v>220</v>
      </c>
      <c r="CE19" s="201">
        <v>19</v>
      </c>
      <c r="CF19" s="220">
        <v>15</v>
      </c>
      <c r="CG19" s="201">
        <v>225</v>
      </c>
      <c r="CH19" s="201">
        <v>145</v>
      </c>
      <c r="CI19" s="201">
        <v>208</v>
      </c>
      <c r="CJ19" s="201">
        <v>73</v>
      </c>
      <c r="CK19" s="201">
        <v>81</v>
      </c>
      <c r="CL19" s="201">
        <v>103</v>
      </c>
      <c r="CM19" s="201">
        <v>111</v>
      </c>
      <c r="CN19" s="201">
        <v>49</v>
      </c>
      <c r="CO19" s="201">
        <v>33</v>
      </c>
      <c r="CP19" s="201">
        <v>124</v>
      </c>
      <c r="CQ19" s="278">
        <v>0</v>
      </c>
      <c r="CR19" s="279">
        <v>0</v>
      </c>
      <c r="CS19" s="201">
        <v>127</v>
      </c>
      <c r="CT19" s="201">
        <v>4</v>
      </c>
      <c r="CV19" s="201">
        <f>+(C19+E19+K19+M19+Q19+S19+U19+W19+Z19+AB19+AD19+AE19+AG19+AH19+AI19+AJ19+AL19+AN19+AP19+AR19+AS19+AU19+AW19+AY19+AZ19+BB19+BC19+BE19+BG19+BI19+BK19+BL19+BO19+BP19+BQ19+BR19+BS19+BW19+BX19+BY19+CB19+CC19+CD19+CE19+CG19+CH19+CI19+CJ19+CK19+CL19+CM19+CN19+CO19+CP19+CQ19+CS19+CT19)</f>
        <v>49722.2</v>
      </c>
      <c r="CW19" s="201"/>
      <c r="CX19" s="27">
        <f>+E19+AR19+BK19+BS19+BX19+CB19+CC19+CG19+CH19+CK19+CN19+CO19+CP19+CS19</f>
        <v>10588.2</v>
      </c>
      <c r="CY19" s="27">
        <f>+C19+K19+M19+Q19+S19+U19+W19+Z19+AB19+AD19+AE19+AG19+AH19+AI19+AJ19+AL19+AN19+AP19+AS19+AU19+AW19+AY19+AZ19+BB19+BC19+BE19+BG19+BI19+BL19+BP19+BQ19+BR19+BW19+BY19+CD19+CE19+CI19+CJ19+CL19+CM19+CQ19+CT19</f>
        <v>39042</v>
      </c>
      <c r="CZ19" s="201"/>
      <c r="DA19" s="201"/>
    </row>
    <row r="20" spans="1:105" ht="18" customHeight="1">
      <c r="A20" s="168" t="s">
        <v>524</v>
      </c>
      <c r="B20" s="28"/>
      <c r="C20" s="269">
        <v>62.5</v>
      </c>
      <c r="D20" s="270"/>
      <c r="E20" s="269">
        <v>72.5</v>
      </c>
      <c r="F20" s="270">
        <v>72.2</v>
      </c>
      <c r="G20" s="270">
        <v>8.8</v>
      </c>
      <c r="H20" s="270">
        <v>51.6</v>
      </c>
      <c r="I20" s="270">
        <v>61.9</v>
      </c>
      <c r="J20" s="270">
        <v>100</v>
      </c>
      <c r="K20" s="269">
        <v>61</v>
      </c>
      <c r="L20" s="270"/>
      <c r="M20" s="269">
        <v>62.8</v>
      </c>
      <c r="N20" s="270"/>
      <c r="O20" s="270"/>
      <c r="P20" s="270"/>
      <c r="Q20" s="269">
        <v>42</v>
      </c>
      <c r="R20" s="270">
        <v>0</v>
      </c>
      <c r="S20" s="269">
        <v>54.7</v>
      </c>
      <c r="T20" s="270"/>
      <c r="U20" s="269">
        <v>51.89</v>
      </c>
      <c r="V20" s="270"/>
      <c r="W20" s="269">
        <v>78.3</v>
      </c>
      <c r="X20" s="270"/>
      <c r="Y20" s="270"/>
      <c r="Z20" s="269">
        <v>49.4</v>
      </c>
      <c r="AA20" s="270"/>
      <c r="AB20" s="269">
        <v>67.8</v>
      </c>
      <c r="AC20" s="270"/>
      <c r="AD20" s="269">
        <v>43.4</v>
      </c>
      <c r="AE20" s="269">
        <v>42.1</v>
      </c>
      <c r="AF20" s="270"/>
      <c r="AG20" s="269">
        <v>74.6</v>
      </c>
      <c r="AH20" s="269">
        <v>68.26</v>
      </c>
      <c r="AI20" s="269">
        <v>44.8</v>
      </c>
      <c r="AJ20" s="269">
        <v>80</v>
      </c>
      <c r="AK20" s="270"/>
      <c r="AL20" s="269">
        <v>38.6</v>
      </c>
      <c r="AM20" s="270"/>
      <c r="AN20" s="269">
        <v>81.6</v>
      </c>
      <c r="AO20" s="270"/>
      <c r="AP20" s="269">
        <v>91</v>
      </c>
      <c r="AQ20" s="270"/>
      <c r="AR20" s="269">
        <v>88.2</v>
      </c>
      <c r="AS20" s="269">
        <v>53</v>
      </c>
      <c r="AT20" s="270"/>
      <c r="AU20" s="269">
        <v>63.32</v>
      </c>
      <c r="AV20" s="270"/>
      <c r="AW20" s="269">
        <v>82.5</v>
      </c>
      <c r="AX20" s="270"/>
      <c r="AY20" s="269">
        <v>73.7</v>
      </c>
      <c r="AZ20" s="269">
        <v>54.51</v>
      </c>
      <c r="BA20" s="270"/>
      <c r="BB20" s="269">
        <v>56.5</v>
      </c>
      <c r="BC20" s="269">
        <v>98.4</v>
      </c>
      <c r="BD20" s="270"/>
      <c r="BE20" s="269">
        <v>46</v>
      </c>
      <c r="BF20" s="270"/>
      <c r="BG20" s="269">
        <v>77.2</v>
      </c>
      <c r="BH20" s="270"/>
      <c r="BI20" s="271">
        <v>61.3</v>
      </c>
      <c r="BJ20" s="270"/>
      <c r="BK20" s="269">
        <v>66.7</v>
      </c>
      <c r="BL20" s="269">
        <v>70.6</v>
      </c>
      <c r="BM20" s="270"/>
      <c r="BN20" s="270"/>
      <c r="BO20" s="269">
        <v>85.5</v>
      </c>
      <c r="BP20" s="269">
        <v>79.5</v>
      </c>
      <c r="BQ20" s="269">
        <f>38.07+3.87</f>
        <v>41.94</v>
      </c>
      <c r="BR20" s="269">
        <v>57.2</v>
      </c>
      <c r="BS20" s="269">
        <v>31</v>
      </c>
      <c r="BT20" s="272">
        <v>31</v>
      </c>
      <c r="BU20" s="272">
        <v>0</v>
      </c>
      <c r="BV20" s="272"/>
      <c r="BW20" s="269">
        <v>92.28</v>
      </c>
      <c r="BX20" s="269">
        <v>74.2</v>
      </c>
      <c r="BY20" s="269">
        <v>100</v>
      </c>
      <c r="BZ20" s="272"/>
      <c r="CA20" s="315">
        <v>76.2</v>
      </c>
      <c r="CB20" s="272">
        <v>0</v>
      </c>
      <c r="CC20" s="272">
        <v>76.2</v>
      </c>
      <c r="CD20" s="269">
        <v>68.5</v>
      </c>
      <c r="CE20" s="269">
        <v>91.48</v>
      </c>
      <c r="CF20" s="272"/>
      <c r="CG20" s="269">
        <v>67</v>
      </c>
      <c r="CH20" s="269">
        <v>69.4</v>
      </c>
      <c r="CI20" s="269">
        <v>82.5</v>
      </c>
      <c r="CJ20" s="269">
        <v>72.8</v>
      </c>
      <c r="CK20" s="269">
        <v>69.3</v>
      </c>
      <c r="CL20" s="269">
        <v>81.8</v>
      </c>
      <c r="CM20" s="269">
        <v>72</v>
      </c>
      <c r="CN20" s="269">
        <v>70.9</v>
      </c>
      <c r="CO20" s="269">
        <v>55</v>
      </c>
      <c r="CP20" s="269">
        <v>65.2</v>
      </c>
      <c r="CQ20" s="271">
        <v>100</v>
      </c>
      <c r="CR20" s="272"/>
      <c r="CS20" s="269">
        <v>58.3</v>
      </c>
      <c r="CT20" s="269">
        <v>100</v>
      </c>
      <c r="CV20" s="269">
        <f>+(C20+E20+K20+M20+Q20+S20+U20+W20+Z20+AB20+AD20+AE20+AG20+AH20+AI20+AJ20+AL20+AN20+AP20+AR20+AS20+AU20+AW20+AY20+AZ20+BB20+BC20+BE20+BG20+BI20+BK20+BL20+BO20+BP20+BQ20+BR20+BS20+BW20+BX20+BY20+CB20+CC20+CD20+CE20+CG20+CH20+CI20+CJ20+CK20+CL20+CM20+CN20+CO20+CP20+CQ20+CS20+CT20)/56</f>
        <v>68.23535714285715</v>
      </c>
      <c r="CW20" s="269"/>
      <c r="CX20" s="269">
        <f>(CX58/$CX$63)*100</f>
        <v>72.46254895960863</v>
      </c>
      <c r="CY20" s="269">
        <f>(CY58/$CY$63)*100</f>
        <v>60.51822157393563</v>
      </c>
      <c r="CZ20" s="269"/>
      <c r="DA20" s="269"/>
    </row>
    <row r="21" spans="1:105" ht="12.75">
      <c r="A21" s="168" t="s">
        <v>525</v>
      </c>
      <c r="B21" s="28"/>
      <c r="C21" s="269">
        <v>23.7</v>
      </c>
      <c r="D21" s="270"/>
      <c r="E21" s="269">
        <v>4.3</v>
      </c>
      <c r="F21" s="270">
        <v>3.8</v>
      </c>
      <c r="G21" s="270">
        <v>81.9</v>
      </c>
      <c r="H21" s="270">
        <v>2.5</v>
      </c>
      <c r="I21" s="270">
        <v>38.1</v>
      </c>
      <c r="J21" s="270">
        <v>0</v>
      </c>
      <c r="K21" s="269">
        <v>30</v>
      </c>
      <c r="L21" s="270"/>
      <c r="M21" s="269">
        <v>17.3</v>
      </c>
      <c r="N21" s="270"/>
      <c r="O21" s="270"/>
      <c r="P21" s="270"/>
      <c r="Q21" s="269">
        <v>42</v>
      </c>
      <c r="R21" s="270">
        <v>0</v>
      </c>
      <c r="S21" s="269">
        <v>33.8</v>
      </c>
      <c r="T21" s="270"/>
      <c r="U21" s="269">
        <v>34.42</v>
      </c>
      <c r="V21" s="270"/>
      <c r="W21" s="269">
        <v>7.2</v>
      </c>
      <c r="X21" s="270"/>
      <c r="Y21" s="270"/>
      <c r="Z21" s="269">
        <v>30.3</v>
      </c>
      <c r="AA21" s="270"/>
      <c r="AB21" s="269">
        <v>15.5</v>
      </c>
      <c r="AC21" s="270"/>
      <c r="AD21" s="269">
        <v>42.1</v>
      </c>
      <c r="AE21" s="269">
        <v>40.3</v>
      </c>
      <c r="AF21" s="270"/>
      <c r="AG21" s="269">
        <v>11.8</v>
      </c>
      <c r="AH21" s="269">
        <v>19.42</v>
      </c>
      <c r="AI21" s="269">
        <v>42.6</v>
      </c>
      <c r="AJ21" s="269">
        <v>7</v>
      </c>
      <c r="AK21" s="270"/>
      <c r="AL21" s="269">
        <v>46.1</v>
      </c>
      <c r="AM21" s="270"/>
      <c r="AN21" s="269">
        <v>1.1</v>
      </c>
      <c r="AO21" s="270"/>
      <c r="AP21" s="269">
        <v>1.8</v>
      </c>
      <c r="AQ21" s="270"/>
      <c r="AR21" s="269">
        <v>10</v>
      </c>
      <c r="AS21" s="269">
        <v>35.7</v>
      </c>
      <c r="AT21" s="270"/>
      <c r="AU21" s="269">
        <v>25.95</v>
      </c>
      <c r="AV21" s="270"/>
      <c r="AW21" s="269">
        <v>0.1</v>
      </c>
      <c r="AX21" s="270"/>
      <c r="AY21" s="269">
        <v>3.94</v>
      </c>
      <c r="AZ21" s="269">
        <v>44.86</v>
      </c>
      <c r="BA21" s="270"/>
      <c r="BB21" s="269">
        <v>33.4</v>
      </c>
      <c r="BC21" s="269">
        <v>1.4</v>
      </c>
      <c r="BD21" s="270"/>
      <c r="BE21" s="269">
        <v>38</v>
      </c>
      <c r="BF21" s="270"/>
      <c r="BG21" s="269">
        <v>6.8</v>
      </c>
      <c r="BH21" s="270"/>
      <c r="BI21" s="271">
        <v>20.5</v>
      </c>
      <c r="BJ21" s="270"/>
      <c r="BK21" s="269">
        <v>5.7</v>
      </c>
      <c r="BL21" s="269">
        <v>7</v>
      </c>
      <c r="BM21" s="270"/>
      <c r="BN21" s="270"/>
      <c r="BO21" s="269">
        <v>0.2</v>
      </c>
      <c r="BP21" s="269">
        <v>0.9</v>
      </c>
      <c r="BQ21" s="269">
        <v>41.93</v>
      </c>
      <c r="BR21" s="269">
        <v>27.9</v>
      </c>
      <c r="BS21" s="269">
        <v>28.4</v>
      </c>
      <c r="BT21" s="270">
        <v>28.4</v>
      </c>
      <c r="BU21" s="270">
        <v>0</v>
      </c>
      <c r="BV21" s="270"/>
      <c r="BW21" s="269">
        <v>3.68</v>
      </c>
      <c r="BX21" s="269">
        <v>4.3</v>
      </c>
      <c r="BY21" s="269">
        <v>0</v>
      </c>
      <c r="BZ21" s="270"/>
      <c r="CA21" s="315">
        <v>4.5</v>
      </c>
      <c r="CB21" s="270">
        <v>0</v>
      </c>
      <c r="CC21" s="270">
        <v>4.5</v>
      </c>
      <c r="CD21" s="269">
        <v>14</v>
      </c>
      <c r="CE21" s="269">
        <v>3.14</v>
      </c>
      <c r="CF21" s="270"/>
      <c r="CG21" s="269">
        <v>2.8</v>
      </c>
      <c r="CH21" s="269">
        <v>11.9</v>
      </c>
      <c r="CI21" s="269">
        <v>13.4</v>
      </c>
      <c r="CJ21" s="269">
        <v>0</v>
      </c>
      <c r="CK21" s="269">
        <v>11</v>
      </c>
      <c r="CL21" s="269">
        <v>17.5</v>
      </c>
      <c r="CM21" s="269">
        <v>5</v>
      </c>
      <c r="CN21" s="269">
        <v>6.4</v>
      </c>
      <c r="CO21" s="269">
        <v>1</v>
      </c>
      <c r="CP21" s="269">
        <v>2.1</v>
      </c>
      <c r="CQ21" s="271">
        <v>0</v>
      </c>
      <c r="CR21" s="272"/>
      <c r="CS21" s="269">
        <v>9.5</v>
      </c>
      <c r="CT21" s="269">
        <v>0</v>
      </c>
      <c r="CV21" s="269">
        <f>+(C21+E21+K21+M21+Q21+S21+U21+W21+Z21+AB21+AD21+AE21+AG21+AH21+AI21+AJ21+AL21+AN21+AP21+AR21+AS21+AU21+AW21+AY21+AZ21+BB21+BC21+BE21+BG21+BI21+BK21+BL21+BO21+BP21+BQ21+BR21+BS21+BW21+BX21+BY21+CB21+CC21+CD21+CE21+CG21+CH21+CI21+CJ21+CK21+CL21+CM21+CN21+CO21+CP21+CQ21+CS21+CT21)/56</f>
        <v>15.95785714285714</v>
      </c>
      <c r="CW21" s="269"/>
      <c r="CX21" s="269">
        <f>(CX59/$CX$63)*100</f>
        <v>4.790262303403379</v>
      </c>
      <c r="CY21" s="269">
        <f>(CY59/$CY$63)*100</f>
        <v>25.311254400501937</v>
      </c>
      <c r="CZ21" s="269"/>
      <c r="DA21" s="269"/>
    </row>
    <row r="22" spans="1:105" ht="12.75">
      <c r="A22" s="168" t="s">
        <v>526</v>
      </c>
      <c r="B22" s="28"/>
      <c r="C22" s="269">
        <v>11</v>
      </c>
      <c r="D22" s="270"/>
      <c r="E22" s="269">
        <v>23</v>
      </c>
      <c r="F22" s="270">
        <v>23.8</v>
      </c>
      <c r="G22" s="270">
        <v>2.2</v>
      </c>
      <c r="H22" s="270">
        <v>45.8</v>
      </c>
      <c r="I22" s="270">
        <v>0</v>
      </c>
      <c r="J22" s="270">
        <v>0</v>
      </c>
      <c r="K22" s="269">
        <v>7</v>
      </c>
      <c r="L22" s="270"/>
      <c r="M22" s="269">
        <v>16.3</v>
      </c>
      <c r="N22" s="270"/>
      <c r="O22" s="270"/>
      <c r="P22" s="270"/>
      <c r="Q22" s="269">
        <v>11</v>
      </c>
      <c r="R22" s="270">
        <v>0</v>
      </c>
      <c r="S22" s="269">
        <v>8.4</v>
      </c>
      <c r="T22" s="270"/>
      <c r="U22" s="269">
        <v>10.27</v>
      </c>
      <c r="V22" s="270"/>
      <c r="W22" s="269">
        <v>14.3</v>
      </c>
      <c r="X22" s="270"/>
      <c r="Y22" s="270"/>
      <c r="Z22" s="269">
        <v>17.7</v>
      </c>
      <c r="AA22" s="270"/>
      <c r="AB22" s="269">
        <v>15.8</v>
      </c>
      <c r="AC22" s="270"/>
      <c r="AD22" s="269">
        <v>11.8</v>
      </c>
      <c r="AE22" s="269">
        <v>14.2</v>
      </c>
      <c r="AF22" s="270"/>
      <c r="AG22" s="269">
        <v>13.3</v>
      </c>
      <c r="AH22" s="269">
        <v>9.19</v>
      </c>
      <c r="AI22" s="269">
        <v>9</v>
      </c>
      <c r="AJ22" s="269">
        <v>12</v>
      </c>
      <c r="AK22" s="270"/>
      <c r="AL22" s="269">
        <v>12.2</v>
      </c>
      <c r="AM22" s="270"/>
      <c r="AN22" s="269">
        <v>16.7</v>
      </c>
      <c r="AO22" s="270"/>
      <c r="AP22" s="269">
        <v>4.2</v>
      </c>
      <c r="AQ22" s="270"/>
      <c r="AR22" s="269">
        <v>1.5</v>
      </c>
      <c r="AS22" s="269">
        <v>8.3</v>
      </c>
      <c r="AT22" s="270"/>
      <c r="AU22" s="269">
        <v>8.74</v>
      </c>
      <c r="AV22" s="270"/>
      <c r="AW22" s="269">
        <v>0.6</v>
      </c>
      <c r="AX22" s="270"/>
      <c r="AY22" s="269">
        <v>21.89</v>
      </c>
      <c r="AZ22" s="269">
        <v>0.63</v>
      </c>
      <c r="BA22" s="270"/>
      <c r="BB22" s="269">
        <v>6.7</v>
      </c>
      <c r="BC22" s="269">
        <v>0.22</v>
      </c>
      <c r="BD22" s="270"/>
      <c r="BE22" s="269">
        <v>10</v>
      </c>
      <c r="BF22" s="270"/>
      <c r="BG22" s="269">
        <v>15.5</v>
      </c>
      <c r="BH22" s="270"/>
      <c r="BI22" s="271">
        <v>17.2</v>
      </c>
      <c r="BJ22" s="270"/>
      <c r="BK22" s="269">
        <v>27.4</v>
      </c>
      <c r="BL22" s="269">
        <v>22.1</v>
      </c>
      <c r="BM22" s="270"/>
      <c r="BN22" s="270"/>
      <c r="BO22" s="269">
        <v>14.3</v>
      </c>
      <c r="BP22" s="269">
        <v>19.6</v>
      </c>
      <c r="BQ22" s="269">
        <v>12.91</v>
      </c>
      <c r="BR22" s="269">
        <v>11.1</v>
      </c>
      <c r="BS22" s="269">
        <v>9.1</v>
      </c>
      <c r="BT22" s="270">
        <v>9.1</v>
      </c>
      <c r="BU22" s="270">
        <v>0</v>
      </c>
      <c r="BV22" s="270"/>
      <c r="BW22" s="269">
        <v>3.61</v>
      </c>
      <c r="BX22" s="269">
        <v>21.5</v>
      </c>
      <c r="BY22" s="269">
        <v>0</v>
      </c>
      <c r="BZ22" s="270"/>
      <c r="CA22" s="315">
        <v>18.3</v>
      </c>
      <c r="CB22" s="270">
        <v>0</v>
      </c>
      <c r="CC22" s="270">
        <v>18.3</v>
      </c>
      <c r="CD22" s="269">
        <v>17.4</v>
      </c>
      <c r="CE22" s="269">
        <v>4.19</v>
      </c>
      <c r="CF22" s="270"/>
      <c r="CG22" s="269">
        <v>29.5</v>
      </c>
      <c r="CH22" s="269">
        <v>18.2</v>
      </c>
      <c r="CI22" s="269">
        <v>3.8</v>
      </c>
      <c r="CJ22" s="269">
        <v>26.2</v>
      </c>
      <c r="CK22" s="269">
        <v>19</v>
      </c>
      <c r="CL22" s="269">
        <v>0.7</v>
      </c>
      <c r="CM22" s="269">
        <v>23</v>
      </c>
      <c r="CN22" s="269">
        <v>20.7</v>
      </c>
      <c r="CO22" s="269">
        <v>44</v>
      </c>
      <c r="CP22" s="269">
        <v>32.5</v>
      </c>
      <c r="CQ22" s="271">
        <v>0</v>
      </c>
      <c r="CR22" s="272"/>
      <c r="CS22" s="269">
        <v>31.4</v>
      </c>
      <c r="CT22" s="269">
        <v>0</v>
      </c>
      <c r="CV22" s="269">
        <f>+(C22+E22+K22+M22+Q22+S22+U22+W22+Z22+AB22+AD22+AE22+AG22+AH22+AI22+AJ22+AL22+AN22+AP22+AR22+AS22+AU22+AW22+AY22+AZ22+BB22+BC22+BE22+BG22+BI22+BK22+BL22+BO22+BP22+BQ22+BR22+BS22+BW22+BX22+BY22+CB22+CC22+CD22+CE22+CG22+CH22+CI22+CJ22+CK22+CL22+CM22+CN22+CO22+CP22+CQ22+CS22+CT22)/56</f>
        <v>13.556250000000004</v>
      </c>
      <c r="CW22" s="269"/>
      <c r="CX22" s="269">
        <f>(CX60/$CX$63)*100</f>
        <v>22.51766997754316</v>
      </c>
      <c r="CY22" s="269">
        <f>(CY60/$CY$63)*100</f>
        <v>11.508478019034927</v>
      </c>
      <c r="CZ22" s="269"/>
      <c r="DA22" s="269"/>
    </row>
    <row r="23" spans="1:105" ht="12.75">
      <c r="A23" s="168" t="s">
        <v>527</v>
      </c>
      <c r="B23" s="28"/>
      <c r="C23" s="269">
        <v>2.8</v>
      </c>
      <c r="D23" s="270"/>
      <c r="E23" s="269">
        <v>0.2</v>
      </c>
      <c r="F23" s="270">
        <v>0.2</v>
      </c>
      <c r="G23" s="270">
        <v>7.1</v>
      </c>
      <c r="H23" s="270">
        <v>0.1</v>
      </c>
      <c r="I23" s="270">
        <v>0</v>
      </c>
      <c r="J23" s="270">
        <v>0</v>
      </c>
      <c r="K23" s="269">
        <v>2</v>
      </c>
      <c r="L23" s="270"/>
      <c r="M23" s="269">
        <v>2.3</v>
      </c>
      <c r="N23" s="270"/>
      <c r="O23" s="270"/>
      <c r="P23" s="270"/>
      <c r="Q23" s="269">
        <v>5</v>
      </c>
      <c r="R23" s="270">
        <v>0</v>
      </c>
      <c r="S23" s="269">
        <v>3.1</v>
      </c>
      <c r="T23" s="270"/>
      <c r="U23" s="269">
        <v>3.42</v>
      </c>
      <c r="V23" s="270"/>
      <c r="W23" s="269">
        <v>0.2</v>
      </c>
      <c r="X23" s="270"/>
      <c r="Y23" s="270"/>
      <c r="Z23" s="269">
        <v>2.6</v>
      </c>
      <c r="AA23" s="270"/>
      <c r="AB23" s="269">
        <v>0.9</v>
      </c>
      <c r="AC23" s="270"/>
      <c r="AD23" s="269">
        <v>2.7</v>
      </c>
      <c r="AE23" s="269">
        <v>3.4</v>
      </c>
      <c r="AF23" s="270"/>
      <c r="AG23" s="269">
        <v>0.3</v>
      </c>
      <c r="AH23" s="269">
        <v>3.12</v>
      </c>
      <c r="AI23" s="269">
        <v>3.6</v>
      </c>
      <c r="AJ23" s="269">
        <v>1</v>
      </c>
      <c r="AK23" s="270"/>
      <c r="AL23" s="269">
        <v>3.1</v>
      </c>
      <c r="AM23" s="270"/>
      <c r="AN23" s="269">
        <v>0.5</v>
      </c>
      <c r="AO23" s="270"/>
      <c r="AP23" s="269">
        <v>0.2</v>
      </c>
      <c r="AQ23" s="270"/>
      <c r="AR23" s="269">
        <v>0.3</v>
      </c>
      <c r="AS23" s="269">
        <v>3</v>
      </c>
      <c r="AT23" s="270"/>
      <c r="AU23" s="269">
        <v>1.99</v>
      </c>
      <c r="AV23" s="270"/>
      <c r="AW23" s="269">
        <v>16.8</v>
      </c>
      <c r="AX23" s="270"/>
      <c r="AY23" s="269">
        <v>0.47</v>
      </c>
      <c r="AZ23" s="269">
        <v>0</v>
      </c>
      <c r="BA23" s="270"/>
      <c r="BB23" s="269">
        <v>3.4</v>
      </c>
      <c r="BC23" s="269">
        <v>0</v>
      </c>
      <c r="BD23" s="270"/>
      <c r="BE23" s="269">
        <v>6</v>
      </c>
      <c r="BF23" s="270"/>
      <c r="BG23" s="269">
        <v>0.5</v>
      </c>
      <c r="BH23" s="270"/>
      <c r="BI23" s="271">
        <v>1</v>
      </c>
      <c r="BJ23" s="270"/>
      <c r="BK23" s="269">
        <v>0.2</v>
      </c>
      <c r="BL23" s="269">
        <v>0.3</v>
      </c>
      <c r="BM23" s="270"/>
      <c r="BN23" s="270"/>
      <c r="BO23" s="269">
        <v>0</v>
      </c>
      <c r="BP23" s="269">
        <v>0</v>
      </c>
      <c r="BQ23" s="269">
        <v>3.22</v>
      </c>
      <c r="BR23" s="269">
        <v>3.8</v>
      </c>
      <c r="BS23" s="269">
        <v>31.5</v>
      </c>
      <c r="BT23" s="270">
        <v>31.5</v>
      </c>
      <c r="BU23" s="270">
        <v>0</v>
      </c>
      <c r="BV23" s="270"/>
      <c r="BW23" s="269">
        <v>0.43</v>
      </c>
      <c r="BX23" s="269">
        <v>0</v>
      </c>
      <c r="BY23" s="269">
        <v>0</v>
      </c>
      <c r="BZ23" s="270"/>
      <c r="CA23" s="315">
        <v>1</v>
      </c>
      <c r="CB23" s="270">
        <v>0</v>
      </c>
      <c r="CC23" s="270">
        <v>1</v>
      </c>
      <c r="CD23" s="269">
        <v>0.1</v>
      </c>
      <c r="CE23" s="269">
        <v>1.19</v>
      </c>
      <c r="CF23" s="270"/>
      <c r="CG23" s="269">
        <v>0.7</v>
      </c>
      <c r="CH23" s="269">
        <v>0.5</v>
      </c>
      <c r="CI23" s="269">
        <v>0.3</v>
      </c>
      <c r="CJ23" s="269">
        <v>1</v>
      </c>
      <c r="CK23" s="269">
        <v>0.7</v>
      </c>
      <c r="CL23" s="269">
        <v>0</v>
      </c>
      <c r="CM23" s="269">
        <v>0</v>
      </c>
      <c r="CN23" s="269">
        <v>2</v>
      </c>
      <c r="CO23" s="269">
        <v>0</v>
      </c>
      <c r="CP23" s="269">
        <v>0.2</v>
      </c>
      <c r="CQ23" s="271">
        <v>0</v>
      </c>
      <c r="CR23" s="272"/>
      <c r="CS23" s="269">
        <v>0.8</v>
      </c>
      <c r="CT23" s="269">
        <v>0</v>
      </c>
      <c r="CV23" s="269">
        <f>+(C23+E23+K23+M23+Q23+S23+U23+W23+Z23+AB23+AD23+AE23+AG23+AH23+AI23+AJ23+AL23+AN23+AP23+AR23+AS23+AU23+AW23+AY23+AZ23+BB23+BC23+BE23+BG23+BI23+BK23+BL23+BO23+BP23+BQ23+BR23+BS23+BW23+BX23+BY23+CB23+CC23+CD23+CE23+CG23+CH23+CI23+CJ23+CK23+CL23+CM23+CN23+CO23+CP23+CQ23+CS23+CT23)/56</f>
        <v>2.1757142857142857</v>
      </c>
      <c r="CW23" s="269"/>
      <c r="CX23" s="269">
        <f>(CX61/$CX$63)*100</f>
        <v>0.22951875944484207</v>
      </c>
      <c r="CY23" s="269">
        <f>(CY61/$CY$63)*100</f>
        <v>2.51741406245639</v>
      </c>
      <c r="CZ23" s="269"/>
      <c r="DA23" s="269"/>
    </row>
    <row r="24" spans="1:105" ht="12.75">
      <c r="A24" s="168" t="s">
        <v>528</v>
      </c>
      <c r="B24" s="28"/>
      <c r="C24" s="269">
        <v>0</v>
      </c>
      <c r="D24" s="270"/>
      <c r="E24" s="269">
        <v>0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  <c r="K24" s="269">
        <v>0</v>
      </c>
      <c r="L24" s="270"/>
      <c r="M24" s="269">
        <v>1.3</v>
      </c>
      <c r="N24" s="270"/>
      <c r="O24" s="270"/>
      <c r="P24" s="270"/>
      <c r="Q24" s="269">
        <v>0</v>
      </c>
      <c r="R24" s="270">
        <v>0</v>
      </c>
      <c r="S24" s="269">
        <v>0</v>
      </c>
      <c r="T24" s="270"/>
      <c r="U24" s="269">
        <v>0</v>
      </c>
      <c r="V24" s="270"/>
      <c r="W24" s="269">
        <v>0</v>
      </c>
      <c r="X24" s="270"/>
      <c r="Y24" s="270"/>
      <c r="Z24" s="269">
        <v>0</v>
      </c>
      <c r="AA24" s="270"/>
      <c r="AB24" s="269">
        <v>0</v>
      </c>
      <c r="AC24" s="270"/>
      <c r="AD24" s="269">
        <v>0</v>
      </c>
      <c r="AE24" s="269">
        <v>0</v>
      </c>
      <c r="AF24" s="270"/>
      <c r="AG24" s="269">
        <v>0</v>
      </c>
      <c r="AH24" s="269">
        <v>0</v>
      </c>
      <c r="AI24" s="269">
        <v>0</v>
      </c>
      <c r="AJ24" s="269">
        <v>0</v>
      </c>
      <c r="AK24" s="270"/>
      <c r="AL24" s="269">
        <v>0</v>
      </c>
      <c r="AM24" s="270"/>
      <c r="AN24" s="269">
        <v>0.1</v>
      </c>
      <c r="AO24" s="270"/>
      <c r="AP24" s="269">
        <v>2.8</v>
      </c>
      <c r="AQ24" s="270"/>
      <c r="AR24" s="269">
        <v>0</v>
      </c>
      <c r="AS24" s="269">
        <v>0</v>
      </c>
      <c r="AT24" s="270"/>
      <c r="AU24" s="269">
        <v>0</v>
      </c>
      <c r="AV24" s="270"/>
      <c r="AW24" s="269">
        <v>0</v>
      </c>
      <c r="AX24" s="270"/>
      <c r="AY24" s="269">
        <v>0</v>
      </c>
      <c r="AZ24" s="269">
        <v>0</v>
      </c>
      <c r="BA24" s="270"/>
      <c r="BB24" s="269">
        <v>0</v>
      </c>
      <c r="BC24" s="269">
        <v>0</v>
      </c>
      <c r="BD24" s="270"/>
      <c r="BE24" s="269">
        <v>0</v>
      </c>
      <c r="BF24" s="270"/>
      <c r="BG24" s="269">
        <v>0</v>
      </c>
      <c r="BH24" s="270"/>
      <c r="BI24" s="269">
        <v>0</v>
      </c>
      <c r="BJ24" s="270"/>
      <c r="BK24" s="269">
        <v>0</v>
      </c>
      <c r="BL24" s="269">
        <v>0</v>
      </c>
      <c r="BM24" s="270"/>
      <c r="BN24" s="270"/>
      <c r="BO24" s="269">
        <v>0</v>
      </c>
      <c r="BP24" s="269">
        <v>0</v>
      </c>
      <c r="BQ24" s="269">
        <v>0</v>
      </c>
      <c r="BR24" s="269">
        <v>0</v>
      </c>
      <c r="BS24" s="269">
        <v>0</v>
      </c>
      <c r="BT24" s="270">
        <v>0</v>
      </c>
      <c r="BU24" s="270">
        <v>0</v>
      </c>
      <c r="BV24" s="270"/>
      <c r="BW24" s="269">
        <v>0</v>
      </c>
      <c r="BX24" s="269">
        <v>0</v>
      </c>
      <c r="BY24" s="269">
        <v>0</v>
      </c>
      <c r="BZ24" s="270"/>
      <c r="CA24" s="316">
        <v>0</v>
      </c>
      <c r="CB24" s="270">
        <v>0</v>
      </c>
      <c r="CC24" s="270">
        <v>0</v>
      </c>
      <c r="CD24" s="269">
        <v>0</v>
      </c>
      <c r="CE24" s="269">
        <v>0</v>
      </c>
      <c r="CF24" s="270"/>
      <c r="CG24" s="269">
        <v>0</v>
      </c>
      <c r="CH24" s="269">
        <v>0</v>
      </c>
      <c r="CI24" s="269">
        <v>0</v>
      </c>
      <c r="CJ24" s="269">
        <v>0</v>
      </c>
      <c r="CK24" s="269">
        <v>0</v>
      </c>
      <c r="CL24" s="269">
        <v>0</v>
      </c>
      <c r="CM24" s="269">
        <v>0</v>
      </c>
      <c r="CN24" s="269">
        <v>0</v>
      </c>
      <c r="CO24" s="269">
        <v>0</v>
      </c>
      <c r="CP24" s="269">
        <v>0</v>
      </c>
      <c r="CQ24" s="269">
        <v>0</v>
      </c>
      <c r="CR24" s="270"/>
      <c r="CS24" s="269">
        <v>0</v>
      </c>
      <c r="CT24" s="269">
        <v>0</v>
      </c>
      <c r="CV24" s="269">
        <f>+(C24+E24+K24+M24+Q24+S24+U24+W24+Z24+AB24+AD24+AE24+AG24+AH24+AI24+AJ24+AL24+AN24+AP24+AR24+AS24+AU24+AW24+AY24+AZ24+BB24+BC24+BE24+BG24+BI24+BK24+BL24+BO24+BP24+BQ24+BR24+BS24+BW24+BX24+BY24+CB24+CC24+CD24+CE24+CG24+CH24+CI24+CJ24+CK24+CL24+CM24+CN24+CO24+CP24+CQ24+CS24+CT24)/56</f>
        <v>0.075</v>
      </c>
      <c r="CW24" s="269"/>
      <c r="CX24" s="269">
        <f>(CX62/$CX$63)*100</f>
        <v>0</v>
      </c>
      <c r="CY24" s="269">
        <f>(CY62/$CY$63)*100</f>
        <v>0.1446319440711119</v>
      </c>
      <c r="CZ24" s="269"/>
      <c r="DA24" s="269"/>
    </row>
    <row r="25" spans="1:105" ht="12.75">
      <c r="A25" s="15" t="s">
        <v>529</v>
      </c>
      <c r="B25" s="28">
        <v>7</v>
      </c>
      <c r="C25" s="201">
        <f aca="true" t="shared" si="10" ref="C25:BL25">SUM(C20:C24)</f>
        <v>100</v>
      </c>
      <c r="D25" s="202"/>
      <c r="E25" s="201">
        <f t="shared" si="10"/>
        <v>100</v>
      </c>
      <c r="F25" s="202">
        <f t="shared" si="10"/>
        <v>100</v>
      </c>
      <c r="G25" s="202">
        <f t="shared" si="10"/>
        <v>100</v>
      </c>
      <c r="H25" s="202">
        <f t="shared" si="10"/>
        <v>100</v>
      </c>
      <c r="I25" s="202">
        <f t="shared" si="10"/>
        <v>100</v>
      </c>
      <c r="J25" s="202">
        <f t="shared" si="10"/>
        <v>100</v>
      </c>
      <c r="K25" s="201">
        <f t="shared" si="10"/>
        <v>100</v>
      </c>
      <c r="L25" s="202"/>
      <c r="M25" s="201">
        <f t="shared" si="10"/>
        <v>99.99999999999999</v>
      </c>
      <c r="N25" s="202"/>
      <c r="O25" s="202"/>
      <c r="P25" s="202"/>
      <c r="Q25" s="201">
        <f t="shared" si="10"/>
        <v>100</v>
      </c>
      <c r="R25" s="202">
        <f t="shared" si="10"/>
        <v>0</v>
      </c>
      <c r="S25" s="201">
        <f t="shared" si="10"/>
        <v>100</v>
      </c>
      <c r="T25" s="202"/>
      <c r="U25" s="201">
        <f t="shared" si="10"/>
        <v>100</v>
      </c>
      <c r="V25" s="202"/>
      <c r="W25" s="201">
        <f t="shared" si="10"/>
        <v>100</v>
      </c>
      <c r="X25" s="202"/>
      <c r="Y25" s="202"/>
      <c r="Z25" s="201">
        <f t="shared" si="10"/>
        <v>100</v>
      </c>
      <c r="AA25" s="202"/>
      <c r="AB25" s="201">
        <f t="shared" si="10"/>
        <v>100</v>
      </c>
      <c r="AC25" s="202"/>
      <c r="AD25" s="201">
        <f t="shared" si="10"/>
        <v>100</v>
      </c>
      <c r="AE25" s="201">
        <f t="shared" si="10"/>
        <v>100.00000000000001</v>
      </c>
      <c r="AF25" s="202"/>
      <c r="AG25" s="201">
        <f t="shared" si="10"/>
        <v>99.99999999999999</v>
      </c>
      <c r="AH25" s="201">
        <f t="shared" si="10"/>
        <v>99.99000000000001</v>
      </c>
      <c r="AI25" s="201">
        <f t="shared" si="10"/>
        <v>100</v>
      </c>
      <c r="AJ25" s="201">
        <f t="shared" si="10"/>
        <v>100</v>
      </c>
      <c r="AK25" s="202"/>
      <c r="AL25" s="201">
        <f t="shared" si="10"/>
        <v>100</v>
      </c>
      <c r="AM25" s="202"/>
      <c r="AN25" s="201">
        <f t="shared" si="10"/>
        <v>99.99999999999999</v>
      </c>
      <c r="AO25" s="202"/>
      <c r="AP25" s="201">
        <f t="shared" si="10"/>
        <v>100</v>
      </c>
      <c r="AQ25" s="202"/>
      <c r="AR25" s="201">
        <f t="shared" si="10"/>
        <v>100</v>
      </c>
      <c r="AS25" s="201">
        <f t="shared" si="10"/>
        <v>100</v>
      </c>
      <c r="AT25" s="202"/>
      <c r="AU25" s="201">
        <f t="shared" si="10"/>
        <v>99.99999999999999</v>
      </c>
      <c r="AV25" s="202"/>
      <c r="AW25" s="201">
        <f t="shared" si="10"/>
        <v>99.99999999999999</v>
      </c>
      <c r="AX25" s="202"/>
      <c r="AY25" s="201">
        <f t="shared" si="10"/>
        <v>100</v>
      </c>
      <c r="AZ25" s="201">
        <f t="shared" si="10"/>
        <v>100</v>
      </c>
      <c r="BA25" s="202"/>
      <c r="BB25" s="201">
        <f t="shared" si="10"/>
        <v>100.00000000000001</v>
      </c>
      <c r="BC25" s="201">
        <f t="shared" si="10"/>
        <v>100.02000000000001</v>
      </c>
      <c r="BD25" s="202"/>
      <c r="BE25" s="201">
        <f t="shared" si="10"/>
        <v>100</v>
      </c>
      <c r="BF25" s="202"/>
      <c r="BG25" s="201">
        <f t="shared" si="10"/>
        <v>100</v>
      </c>
      <c r="BH25" s="202"/>
      <c r="BI25" s="204">
        <f t="shared" si="10"/>
        <v>100</v>
      </c>
      <c r="BJ25" s="202"/>
      <c r="BK25" s="201">
        <f t="shared" si="10"/>
        <v>100.00000000000001</v>
      </c>
      <c r="BL25" s="201">
        <f t="shared" si="10"/>
        <v>99.99999999999999</v>
      </c>
      <c r="BM25" s="202"/>
      <c r="BN25" s="202"/>
      <c r="BO25" s="201">
        <f aca="true" t="shared" si="11" ref="BO25:BY25">SUM(BO20:BO24)</f>
        <v>100</v>
      </c>
      <c r="BP25" s="201">
        <f t="shared" si="11"/>
        <v>100</v>
      </c>
      <c r="BQ25" s="201">
        <f t="shared" si="11"/>
        <v>100</v>
      </c>
      <c r="BR25" s="201">
        <f t="shared" si="11"/>
        <v>99.99999999999999</v>
      </c>
      <c r="BS25" s="201">
        <f t="shared" si="11"/>
        <v>100</v>
      </c>
      <c r="BT25" s="202">
        <f t="shared" si="11"/>
        <v>100</v>
      </c>
      <c r="BU25" s="202">
        <f t="shared" si="11"/>
        <v>0</v>
      </c>
      <c r="BV25" s="202"/>
      <c r="BW25" s="201">
        <f t="shared" si="11"/>
        <v>100.00000000000001</v>
      </c>
      <c r="BX25" s="269">
        <f t="shared" si="11"/>
        <v>100</v>
      </c>
      <c r="BY25" s="269">
        <f t="shared" si="11"/>
        <v>100</v>
      </c>
      <c r="BZ25" s="202"/>
      <c r="CA25" s="317">
        <f aca="true" t="shared" si="12" ref="CA25:CT25">SUM(CA20:CA24)</f>
        <v>100</v>
      </c>
      <c r="CB25" s="202">
        <f t="shared" si="12"/>
        <v>0</v>
      </c>
      <c r="CC25" s="202">
        <f t="shared" si="12"/>
        <v>100</v>
      </c>
      <c r="CD25" s="269">
        <f t="shared" si="12"/>
        <v>100</v>
      </c>
      <c r="CE25" s="269">
        <f t="shared" si="12"/>
        <v>100</v>
      </c>
      <c r="CF25" s="202"/>
      <c r="CG25" s="269">
        <f t="shared" si="12"/>
        <v>100</v>
      </c>
      <c r="CH25" s="269">
        <f t="shared" si="12"/>
        <v>100.00000000000001</v>
      </c>
      <c r="CI25" s="269">
        <f t="shared" si="12"/>
        <v>100</v>
      </c>
      <c r="CJ25" s="269">
        <f t="shared" si="12"/>
        <v>100</v>
      </c>
      <c r="CK25" s="269">
        <f t="shared" si="12"/>
        <v>100</v>
      </c>
      <c r="CL25" s="269">
        <f t="shared" si="12"/>
        <v>100</v>
      </c>
      <c r="CM25" s="269">
        <f t="shared" si="12"/>
        <v>100</v>
      </c>
      <c r="CN25" s="269">
        <f t="shared" si="12"/>
        <v>100.00000000000001</v>
      </c>
      <c r="CO25" s="269">
        <f t="shared" si="12"/>
        <v>100</v>
      </c>
      <c r="CP25" s="269">
        <f t="shared" si="12"/>
        <v>100</v>
      </c>
      <c r="CQ25" s="269">
        <f t="shared" si="12"/>
        <v>100</v>
      </c>
      <c r="CR25" s="270"/>
      <c r="CS25" s="269">
        <f t="shared" si="12"/>
        <v>99.99999999999999</v>
      </c>
      <c r="CT25" s="269">
        <f t="shared" si="12"/>
        <v>100</v>
      </c>
      <c r="CV25" s="201">
        <f>SUM(CV20:CV24)</f>
        <v>100.00017857142859</v>
      </c>
      <c r="CW25" s="201"/>
      <c r="CX25" s="201">
        <f>SUM(CX20:CX24)</f>
        <v>100.00000000000001</v>
      </c>
      <c r="CY25" s="201">
        <f>SUM(CY20:CY24)</f>
        <v>100</v>
      </c>
      <c r="CZ25" s="269"/>
      <c r="DA25" s="269"/>
    </row>
    <row r="26" spans="1:105" ht="17.25" customHeight="1">
      <c r="A26" s="168" t="s">
        <v>530</v>
      </c>
      <c r="B26" s="28">
        <v>8</v>
      </c>
      <c r="C26" s="280">
        <f>'[1]3.2 Yfirlit'!B19/'[1]3.2 Yfirlit'!B11</f>
        <v>0.26679890290389063</v>
      </c>
      <c r="D26" s="281"/>
      <c r="E26" s="280">
        <f>'[1]3.2 Yfirlit'!D19/'[1]3.2 Yfirlit'!D11</f>
        <v>0.3618740025807442</v>
      </c>
      <c r="F26" s="281">
        <f>'[1]3.2 Yfirlit'!E19/'[1]3.2 Yfirlit'!E11</f>
        <v>0.4778044923501239</v>
      </c>
      <c r="G26" s="281">
        <f>'[1]3.2 Yfirlit'!F19/'[1]3.2 Yfirlit'!F11</f>
        <v>0.002739928044077477</v>
      </c>
      <c r="H26" s="281">
        <f>'[1]3.2 Yfirlit'!G19/'[1]3.2 Yfirlit'!G11</f>
        <v>0.8494123189259216</v>
      </c>
      <c r="I26" s="281">
        <f>'[1]3.2 Yfirlit'!H19/'[1]3.2 Yfirlit'!H11</f>
        <v>0.8170663864507356</v>
      </c>
      <c r="J26" s="281"/>
      <c r="K26" s="280">
        <f>'[1]3.2 Yfirlit'!J19/'[1]3.2 Yfirlit'!J11</f>
        <v>0.6321144465348603</v>
      </c>
      <c r="L26" s="281"/>
      <c r="M26" s="280">
        <f>'[1]3.2 Yfirlit'!L19/'[1]3.2 Yfirlit'!L11</f>
        <v>0.45856890652798765</v>
      </c>
      <c r="N26" s="281">
        <f>'3.2 Chaneges'!M19/'3.2 Chaneges'!M11</f>
        <v>0.4839963098727628</v>
      </c>
      <c r="O26" s="281">
        <f>'3.2 Chaneges'!N19/'3.2 Chaneges'!N11</f>
        <v>0</v>
      </c>
      <c r="P26" s="281"/>
      <c r="Q26" s="280">
        <f>'[1]3.2 Yfirlit'!P19/'[1]3.2 Yfirlit'!P11</f>
        <v>0.523562307990222</v>
      </c>
      <c r="R26" s="281"/>
      <c r="S26" s="280">
        <f>'[1]3.2 Yfirlit'!R19/'[1]3.2 Yfirlit'!R11</f>
        <v>0.5069704106113568</v>
      </c>
      <c r="T26" s="281"/>
      <c r="U26" s="280">
        <f>'[1]3.2 Yfirlit'!T19/'[1]3.2 Yfirlit'!T11</f>
        <v>0.1527239484209488</v>
      </c>
      <c r="V26" s="281"/>
      <c r="W26" s="280">
        <f>'3.2 Chaneges'!V19/'3.2 Chaneges'!V11</f>
        <v>0.6907426528496444</v>
      </c>
      <c r="X26" s="281">
        <f>'3.2 Chaneges'!W19/'3.2 Chaneges'!W11</f>
        <v>1.294274152803717</v>
      </c>
      <c r="Y26" s="281">
        <f>'3.2 Chaneges'!X19/'3.2 Chaneges'!X11</f>
        <v>0.036812170091863196</v>
      </c>
      <c r="Z26" s="280">
        <f>'[1]3.2 Yfirlit'!Y19/'[1]3.2 Yfirlit'!Y11</f>
        <v>0.1232213985379244</v>
      </c>
      <c r="AA26" s="281"/>
      <c r="AB26" s="280">
        <f>'[1]3.2 Yfirlit'!AA19/'[1]3.2 Yfirlit'!AA11</f>
        <v>0.8255269410673857</v>
      </c>
      <c r="AC26" s="281"/>
      <c r="AD26" s="280">
        <f>'[1]3.2 Yfirlit'!AC19/'[1]3.2 Yfirlit'!AC11</f>
        <v>0.390351686348925</v>
      </c>
      <c r="AE26" s="280">
        <f>'[1]3.2 Yfirlit'!AD19/'[1]3.2 Yfirlit'!AD11</f>
        <v>0.5619805704074118</v>
      </c>
      <c r="AF26" s="281"/>
      <c r="AG26" s="280">
        <f>'[1]3.2 Yfirlit'!AF19/'[1]3.2 Yfirlit'!AF11</f>
        <v>0.2977889065726833</v>
      </c>
      <c r="AH26" s="280">
        <f>'[1]3.2 Yfirlit'!AG19/'[1]3.2 Yfirlit'!AG11</f>
        <v>1.3525006190466884</v>
      </c>
      <c r="AI26" s="280">
        <f>'[1]3.2 Yfirlit'!AH19/'[1]3.2 Yfirlit'!AH11</f>
        <v>0.5260724876472224</v>
      </c>
      <c r="AJ26" s="280">
        <f>'[1]3.2 Yfirlit'!AI19/'[1]3.2 Yfirlit'!AI11</f>
        <v>0.13102632570607603</v>
      </c>
      <c r="AK26" s="281"/>
      <c r="AL26" s="280">
        <f>'[1]3.2 Yfirlit'!AK19/'[1]3.2 Yfirlit'!AK11</f>
        <v>0.5874109995884241</v>
      </c>
      <c r="AM26" s="280"/>
      <c r="AN26" s="280">
        <f>'[1]3.2 Yfirlit'!AM19/'[1]3.2 Yfirlit'!AM11</f>
        <v>0.07082136935827296</v>
      </c>
      <c r="AO26" s="281"/>
      <c r="AP26" s="280">
        <f>'[1]3.2 Yfirlit'!AO19/'[1]3.2 Yfirlit'!AO11</f>
        <v>0.03636564160479541</v>
      </c>
      <c r="AQ26" s="281"/>
      <c r="AR26" s="280">
        <f>'[1]3.2 Yfirlit'!AQ19/'[1]3.2 Yfirlit'!AQ11</f>
        <v>0.3332599763359746</v>
      </c>
      <c r="AS26" s="280">
        <f>'[1]3.2 Yfirlit'!AR19/'[1]3.2 Yfirlit'!AR11</f>
        <v>0.5385425674828496</v>
      </c>
      <c r="AT26" s="281"/>
      <c r="AU26" s="280">
        <f>'[1]3.2 Yfirlit'!AT19/'[1]3.2 Yfirlit'!AT11</f>
        <v>0.573584543946565</v>
      </c>
      <c r="AV26" s="281"/>
      <c r="AW26" s="280">
        <f>'[1]3.2 Yfirlit'!AV19/'[1]3.2 Yfirlit'!AV11</f>
        <v>0.06064591676119492</v>
      </c>
      <c r="AX26" s="281"/>
      <c r="AY26" s="280">
        <f>'[1]3.2 Yfirlit'!AX19/'[1]3.2 Yfirlit'!AX11</f>
        <v>1.6352547286054149</v>
      </c>
      <c r="AZ26" s="280">
        <f>'[1]3.2 Yfirlit'!AY19/'[1]3.2 Yfirlit'!AY11</f>
        <v>0.06890586264973056</v>
      </c>
      <c r="BA26" s="281"/>
      <c r="BB26" s="280">
        <f>'[1]3.2 Yfirlit'!BA19/'[1]3.2 Yfirlit'!BA11</f>
        <v>0.4173611217722161</v>
      </c>
      <c r="BC26" s="280">
        <f>'[1]3.2 Yfirlit'!BB19/'[1]3.2 Yfirlit'!BB11</f>
        <v>0.07629094316158955</v>
      </c>
      <c r="BD26" s="281"/>
      <c r="BE26" s="280">
        <f>'[1]3.2 Yfirlit'!BD19/'[1]3.2 Yfirlit'!BD11</f>
        <v>0.7511212921237395</v>
      </c>
      <c r="BF26" s="281"/>
      <c r="BG26" s="280">
        <f>'[1]3.2 Yfirlit'!BF19/'[1]3.2 Yfirlit'!BF11</f>
        <v>0.39108377342357425</v>
      </c>
      <c r="BH26" s="281"/>
      <c r="BI26" s="282">
        <f>'[1]3.2 Yfirlit'!BH19/'[1]3.2 Yfirlit'!BH11</f>
        <v>0.8472194002918798</v>
      </c>
      <c r="BJ26" s="281"/>
      <c r="BK26" s="280">
        <f>'[1]3.2 Yfirlit'!BJ19/'[1]3.2 Yfirlit'!BJ11</f>
        <v>1.13722990414112</v>
      </c>
      <c r="BL26" s="282"/>
      <c r="BM26" s="281"/>
      <c r="BN26" s="281"/>
      <c r="BO26" s="282"/>
      <c r="BP26" s="282"/>
      <c r="BQ26" s="280">
        <f>'[1]3.2 Yfirlit'!BP19/'[1]3.2 Yfirlit'!BP11</f>
        <v>0.44633328651096676</v>
      </c>
      <c r="BR26" s="280">
        <f>'[1]3.2 Yfirlit'!BQ19/'[1]3.2 Yfirlit'!BQ11</f>
        <v>0.2620813927910865</v>
      </c>
      <c r="BS26" s="280">
        <f>'3.2 Chaneges'!BR19/'3.2 Chaneges'!BR11</f>
        <v>0.0003657083861816804</v>
      </c>
      <c r="BT26" s="281">
        <f>'3.2 Chaneges'!BS19/'3.2 Chaneges'!BS11</f>
        <v>0.00040331915281573383</v>
      </c>
      <c r="BU26" s="281">
        <f>'3.2 Chaneges'!BT19/'3.2 Chaneges'!BT11</f>
        <v>0</v>
      </c>
      <c r="BV26" s="281"/>
      <c r="BW26" s="280">
        <f>'[1]3.2 Yfirlit'!BV19/'[1]3.2 Yfirlit'!BV11</f>
        <v>-2.925518710413722</v>
      </c>
      <c r="BX26" s="280">
        <f>'[1]3.2 Yfirlit'!BW19/'[1]3.2 Yfirlit'!BW11</f>
        <v>0.8055176474329097</v>
      </c>
      <c r="BY26" s="280">
        <f>'[1]3.2 Yfirlit'!BX19/'[1]3.2 Yfirlit'!BX11</f>
        <v>0.026661294243656836</v>
      </c>
      <c r="BZ26" s="281"/>
      <c r="CA26" s="280"/>
      <c r="CB26" s="281">
        <f>'[1]3.2 Yfirlit'!CA19/'[1]3.2 Yfirlit'!CA11</f>
        <v>0</v>
      </c>
      <c r="CC26" s="281">
        <f>'[1]3.2 Yfirlit'!CB19/'[1]3.2 Yfirlit'!CB11</f>
        <v>0.8563228922720602</v>
      </c>
      <c r="CD26" s="281"/>
      <c r="CE26" s="280">
        <f>'[1]3.2 Yfirlit'!CD19/'[1]3.2 Yfirlit'!CD11</f>
        <v>0.22036402966128732</v>
      </c>
      <c r="CF26" s="281"/>
      <c r="CG26" s="280">
        <f>'[1]3.2 Yfirlit'!CF19/'[1]3.2 Yfirlit'!CF11</f>
        <v>1.0366338211421449</v>
      </c>
      <c r="CH26" s="280">
        <f>'[1]3.2 Yfirlit'!CG19/'[1]3.2 Yfirlit'!CG11</f>
        <v>1.4382755165180308</v>
      </c>
      <c r="CI26" s="280"/>
      <c r="CJ26" s="280"/>
      <c r="CK26" s="280">
        <f>'[1]3.2 Yfirlit'!CJ19/'[1]3.2 Yfirlit'!CJ11</f>
        <v>0.9449736598810374</v>
      </c>
      <c r="CL26" s="280"/>
      <c r="CM26" s="280"/>
      <c r="CN26" s="280">
        <f>'[1]3.2 Yfirlit'!CM19/'[1]3.2 Yfirlit'!CM11</f>
        <v>1.1768703628271575</v>
      </c>
      <c r="CO26" s="280">
        <f>'[1]3.2 Yfirlit'!CN19/'[1]3.2 Yfirlit'!CN11</f>
        <v>1.3134613524773235</v>
      </c>
      <c r="CP26" s="280"/>
      <c r="CQ26" s="280"/>
      <c r="CR26" s="281"/>
      <c r="CS26" s="280">
        <f>'[1]3.2 Yfirlit'!CR19/'[1]3.2 Yfirlit'!CR11</f>
        <v>1.6091847693342027</v>
      </c>
      <c r="CT26" s="280"/>
      <c r="CV26" s="280">
        <f>('3.2 Chaneges'!CV19-585210)/('3.2 Chaneges'!CV11+48527)</f>
        <v>0.36692448472721323</v>
      </c>
      <c r="CW26" s="280"/>
      <c r="CX26" s="280">
        <f>('3.2 Chaneges'!CX19-168991)/('3.2 Chaneges'!CX11+52329)</f>
        <v>0.38551313502693313</v>
      </c>
      <c r="CY26" s="280">
        <f>('3.2 Chaneges'!CY19-416219)/('3.2 Chaneges'!CY11-3802)</f>
        <v>0.35334917368517715</v>
      </c>
      <c r="CZ26" s="269"/>
      <c r="DA26" s="269"/>
    </row>
    <row r="27" spans="1:105" ht="8.25" customHeight="1">
      <c r="A27" s="168"/>
      <c r="B27" s="28"/>
      <c r="C27" s="280"/>
      <c r="D27" s="281"/>
      <c r="E27" s="280"/>
      <c r="F27" s="281"/>
      <c r="G27" s="281"/>
      <c r="H27" s="281"/>
      <c r="I27" s="281"/>
      <c r="J27" s="281"/>
      <c r="K27" s="280"/>
      <c r="L27" s="281"/>
      <c r="M27" s="280"/>
      <c r="N27" s="281"/>
      <c r="O27" s="281"/>
      <c r="P27" s="281"/>
      <c r="Q27" s="280"/>
      <c r="R27" s="281"/>
      <c r="S27" s="280"/>
      <c r="T27" s="281"/>
      <c r="U27" s="280"/>
      <c r="V27" s="281"/>
      <c r="W27" s="280"/>
      <c r="X27" s="281"/>
      <c r="Y27" s="281"/>
      <c r="Z27" s="280"/>
      <c r="AA27" s="281"/>
      <c r="AB27" s="280"/>
      <c r="AC27" s="281"/>
      <c r="AD27" s="280"/>
      <c r="AE27" s="280"/>
      <c r="AF27" s="281"/>
      <c r="AG27" s="280"/>
      <c r="AH27" s="280"/>
      <c r="AI27" s="280"/>
      <c r="AJ27" s="280"/>
      <c r="AK27" s="281"/>
      <c r="AL27" s="280"/>
      <c r="AM27" s="281"/>
      <c r="AN27" s="280"/>
      <c r="AO27" s="281"/>
      <c r="AP27" s="280"/>
      <c r="AQ27" s="281"/>
      <c r="AR27" s="280"/>
      <c r="AS27" s="280"/>
      <c r="AT27" s="281"/>
      <c r="AU27" s="280"/>
      <c r="AV27" s="281"/>
      <c r="AW27" s="280"/>
      <c r="AX27" s="281"/>
      <c r="AY27" s="280"/>
      <c r="AZ27" s="280"/>
      <c r="BA27" s="281"/>
      <c r="BB27" s="280"/>
      <c r="BC27" s="280"/>
      <c r="BD27" s="281"/>
      <c r="BE27" s="280"/>
      <c r="BF27" s="281"/>
      <c r="BG27" s="280"/>
      <c r="BH27" s="281"/>
      <c r="BI27" s="282"/>
      <c r="BJ27" s="281"/>
      <c r="BK27" s="280"/>
      <c r="BL27" s="280"/>
      <c r="BM27" s="281"/>
      <c r="BN27" s="281"/>
      <c r="BO27" s="280"/>
      <c r="BP27" s="280"/>
      <c r="BQ27" s="280"/>
      <c r="BR27" s="280"/>
      <c r="BS27" s="280"/>
      <c r="BT27" s="281"/>
      <c r="BU27" s="281"/>
      <c r="BV27" s="281"/>
      <c r="BW27" s="280"/>
      <c r="BX27" s="280"/>
      <c r="BY27" s="280"/>
      <c r="BZ27" s="281"/>
      <c r="CA27" s="280"/>
      <c r="CB27" s="281"/>
      <c r="CC27" s="281"/>
      <c r="CD27" s="280"/>
      <c r="CE27" s="280"/>
      <c r="CF27" s="281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1"/>
      <c r="CS27" s="280"/>
      <c r="CT27" s="282"/>
      <c r="CV27" s="280"/>
      <c r="CW27" s="280"/>
      <c r="CX27" s="27"/>
      <c r="CY27" s="27"/>
      <c r="CZ27" s="269"/>
      <c r="DA27" s="269"/>
    </row>
    <row r="28" spans="1:105" s="288" customFormat="1" ht="24" customHeight="1">
      <c r="A28" s="325" t="s">
        <v>531</v>
      </c>
      <c r="B28" s="28">
        <v>9</v>
      </c>
      <c r="C28" s="284">
        <v>0.017</v>
      </c>
      <c r="D28" s="260"/>
      <c r="E28" s="260"/>
      <c r="F28" s="260">
        <v>-0.666</v>
      </c>
      <c r="G28" s="260">
        <v>-0.001</v>
      </c>
      <c r="H28" s="260">
        <v>-0.92</v>
      </c>
      <c r="I28" s="260">
        <v>-0.935</v>
      </c>
      <c r="J28" s="260"/>
      <c r="K28" s="284">
        <v>0.02</v>
      </c>
      <c r="L28" s="260"/>
      <c r="M28" s="260"/>
      <c r="N28" s="260">
        <v>0.024</v>
      </c>
      <c r="O28" s="260">
        <v>0.01</v>
      </c>
      <c r="P28" s="260"/>
      <c r="Q28" s="284">
        <v>-0.06</v>
      </c>
      <c r="R28" s="260"/>
      <c r="S28" s="284">
        <v>-0.031</v>
      </c>
      <c r="T28" s="260"/>
      <c r="U28" s="284">
        <v>0.027</v>
      </c>
      <c r="V28" s="260"/>
      <c r="W28" s="260"/>
      <c r="X28" s="260">
        <v>0.004</v>
      </c>
      <c r="Y28" s="260">
        <v>0.012</v>
      </c>
      <c r="Z28" s="284">
        <v>-0.002</v>
      </c>
      <c r="AA28" s="260"/>
      <c r="AB28" s="260" t="s">
        <v>349</v>
      </c>
      <c r="AC28" s="260"/>
      <c r="AD28" s="285">
        <v>-0.011</v>
      </c>
      <c r="AE28" s="284">
        <v>-0.011</v>
      </c>
      <c r="AF28" s="260"/>
      <c r="AG28" s="284">
        <v>-0.019</v>
      </c>
      <c r="AH28" s="284">
        <v>-0.004</v>
      </c>
      <c r="AI28" s="284">
        <v>-0.018</v>
      </c>
      <c r="AJ28" s="284">
        <v>-0.025</v>
      </c>
      <c r="AK28" s="260"/>
      <c r="AL28" s="284">
        <v>-0.007</v>
      </c>
      <c r="AM28" s="260"/>
      <c r="AN28" s="284">
        <v>0.061</v>
      </c>
      <c r="AO28" s="260"/>
      <c r="AP28" s="284">
        <v>0.168</v>
      </c>
      <c r="AQ28" s="260"/>
      <c r="AR28" s="284">
        <v>-0.651</v>
      </c>
      <c r="AS28" s="284">
        <v>-0.027</v>
      </c>
      <c r="AT28" s="260"/>
      <c r="AU28" s="284">
        <v>0.018</v>
      </c>
      <c r="AV28" s="260"/>
      <c r="AW28" s="284">
        <v>-0.013</v>
      </c>
      <c r="AX28" s="260"/>
      <c r="AY28" s="284">
        <v>0.038</v>
      </c>
      <c r="AZ28" s="284">
        <v>0.171</v>
      </c>
      <c r="BA28" s="260"/>
      <c r="BB28" s="284">
        <v>0.101</v>
      </c>
      <c r="BC28" s="284">
        <v>0.066</v>
      </c>
      <c r="BD28" s="260"/>
      <c r="BE28" s="284">
        <v>-0.068</v>
      </c>
      <c r="BF28" s="260"/>
      <c r="BG28" s="284">
        <v>0.04</v>
      </c>
      <c r="BH28" s="260"/>
      <c r="BI28" s="285">
        <v>0.033</v>
      </c>
      <c r="BJ28" s="260"/>
      <c r="BK28" s="284">
        <v>-0.801</v>
      </c>
      <c r="BL28" s="286"/>
      <c r="BM28" s="260"/>
      <c r="BN28" s="260"/>
      <c r="BO28" s="284">
        <v>0.011</v>
      </c>
      <c r="BP28" s="284"/>
      <c r="BQ28" s="284">
        <v>-0.0525</v>
      </c>
      <c r="BR28" s="284">
        <v>0.033</v>
      </c>
      <c r="BS28" s="260"/>
      <c r="BT28" s="260">
        <v>-0.048</v>
      </c>
      <c r="BU28" s="260">
        <v>0.0464</v>
      </c>
      <c r="BV28" s="260"/>
      <c r="BW28" s="284"/>
      <c r="BX28" s="287" t="s">
        <v>389</v>
      </c>
      <c r="BY28" s="284">
        <v>0.06</v>
      </c>
      <c r="BZ28" s="260"/>
      <c r="CA28" s="260"/>
      <c r="CB28" s="260">
        <v>-0.13</v>
      </c>
      <c r="CC28" s="260">
        <v>-0.63</v>
      </c>
      <c r="CD28" s="284"/>
      <c r="CE28" s="284">
        <v>0.027</v>
      </c>
      <c r="CF28" s="260"/>
      <c r="CG28" s="284">
        <v>-0.713</v>
      </c>
      <c r="CH28" s="284">
        <v>-0.62</v>
      </c>
      <c r="CI28" s="284"/>
      <c r="CK28" s="284">
        <v>-0.724</v>
      </c>
      <c r="CM28" s="285"/>
      <c r="CN28" s="284">
        <v>-0.702</v>
      </c>
      <c r="CO28" s="284">
        <v>-0.742</v>
      </c>
      <c r="CP28" s="284"/>
      <c r="CQ28" s="284"/>
      <c r="CR28" s="260"/>
      <c r="CS28" s="284">
        <v>-0.891</v>
      </c>
      <c r="CT28" s="285"/>
      <c r="CV28" s="284"/>
      <c r="CW28" s="284"/>
      <c r="CX28" s="27"/>
      <c r="CY28" s="27"/>
      <c r="CZ28" s="284"/>
      <c r="DA28" s="286"/>
    </row>
    <row r="29" spans="1:105" s="288" customFormat="1" ht="23.25" customHeight="1">
      <c r="A29" s="325" t="s">
        <v>532</v>
      </c>
      <c r="B29" s="28">
        <v>10</v>
      </c>
      <c r="C29" s="284">
        <v>0.265</v>
      </c>
      <c r="D29" s="260"/>
      <c r="E29" s="260"/>
      <c r="F29" s="260">
        <v>-0.7</v>
      </c>
      <c r="G29" s="260">
        <v>0.411</v>
      </c>
      <c r="H29" s="260">
        <v>-0.978</v>
      </c>
      <c r="I29" s="260">
        <v>-0.982</v>
      </c>
      <c r="J29" s="260"/>
      <c r="K29" s="284">
        <v>0.08</v>
      </c>
      <c r="L29" s="260"/>
      <c r="M29" s="260"/>
      <c r="N29" s="260">
        <v>0.168</v>
      </c>
      <c r="O29" s="260">
        <v>0.394</v>
      </c>
      <c r="P29" s="260"/>
      <c r="Q29" s="284">
        <v>0.082</v>
      </c>
      <c r="R29" s="260"/>
      <c r="S29" s="284">
        <v>0.073</v>
      </c>
      <c r="T29" s="260"/>
      <c r="U29" s="284">
        <v>0.295</v>
      </c>
      <c r="V29" s="260"/>
      <c r="W29" s="260"/>
      <c r="X29" s="260">
        <v>0.113</v>
      </c>
      <c r="Y29" s="260">
        <v>0.499</v>
      </c>
      <c r="Z29" s="285">
        <v>0.434</v>
      </c>
      <c r="AA29" s="289"/>
      <c r="AB29" s="260" t="s">
        <v>390</v>
      </c>
      <c r="AC29" s="260"/>
      <c r="AD29" s="285">
        <v>0.142</v>
      </c>
      <c r="AE29" s="284">
        <v>0.127</v>
      </c>
      <c r="AF29" s="260"/>
      <c r="AG29" s="284">
        <v>-0.067</v>
      </c>
      <c r="AH29" s="284">
        <v>0.067</v>
      </c>
      <c r="AI29" s="284">
        <v>0</v>
      </c>
      <c r="AJ29" s="284">
        <v>-0.071</v>
      </c>
      <c r="AK29" s="260"/>
      <c r="AL29" s="284">
        <v>0.162</v>
      </c>
      <c r="AM29" s="260"/>
      <c r="AN29" s="284">
        <v>0.534</v>
      </c>
      <c r="AO29" s="260"/>
      <c r="AP29" s="284">
        <v>0.295</v>
      </c>
      <c r="AQ29" s="260"/>
      <c r="AR29" s="284">
        <v>-0.67</v>
      </c>
      <c r="AS29" s="284">
        <v>0.001</v>
      </c>
      <c r="AT29" s="260"/>
      <c r="AU29" s="284">
        <v>0.146</v>
      </c>
      <c r="AV29" s="260"/>
      <c r="AW29" s="284">
        <v>0.275</v>
      </c>
      <c r="AX29" s="260"/>
      <c r="AY29" s="284">
        <v>0.072</v>
      </c>
      <c r="AZ29" s="284">
        <v>0.144</v>
      </c>
      <c r="BA29" s="260"/>
      <c r="BB29" s="284">
        <v>0.246</v>
      </c>
      <c r="BC29" s="284">
        <v>0.364</v>
      </c>
      <c r="BD29" s="260"/>
      <c r="BE29" s="284">
        <v>-0.08</v>
      </c>
      <c r="BF29" s="260"/>
      <c r="BG29" s="284">
        <v>0.269</v>
      </c>
      <c r="BH29" s="260"/>
      <c r="BI29" s="285">
        <v>0.132</v>
      </c>
      <c r="BJ29" s="260"/>
      <c r="BK29" s="284">
        <v>-0.866</v>
      </c>
      <c r="BL29" s="260"/>
      <c r="BM29" s="260">
        <v>-0.019</v>
      </c>
      <c r="BN29" s="260">
        <v>0</v>
      </c>
      <c r="BO29" s="284"/>
      <c r="BP29" s="284">
        <v>-0.042</v>
      </c>
      <c r="BQ29" s="284">
        <v>0.0673</v>
      </c>
      <c r="BR29" s="284">
        <v>0.135</v>
      </c>
      <c r="BS29" s="260"/>
      <c r="BT29" s="260">
        <v>0.2946</v>
      </c>
      <c r="BU29" s="260">
        <v>0.1607</v>
      </c>
      <c r="BV29" s="260"/>
      <c r="BW29" s="284">
        <v>0.0341</v>
      </c>
      <c r="BX29" s="287" t="s">
        <v>389</v>
      </c>
      <c r="BY29" s="284">
        <v>0.239</v>
      </c>
      <c r="BZ29" s="260"/>
      <c r="CA29" s="260"/>
      <c r="CB29" s="260">
        <v>-0.03</v>
      </c>
      <c r="CC29" s="260">
        <v>-0.64</v>
      </c>
      <c r="CD29" s="284">
        <v>-0.01</v>
      </c>
      <c r="CE29" s="284">
        <v>0.251</v>
      </c>
      <c r="CF29" s="260"/>
      <c r="CG29" s="284">
        <v>-0.76</v>
      </c>
      <c r="CH29" s="284">
        <v>-0.619</v>
      </c>
      <c r="CI29" s="284">
        <v>-0.074</v>
      </c>
      <c r="CJ29" s="284">
        <v>0.002</v>
      </c>
      <c r="CK29" s="284">
        <v>-0.711</v>
      </c>
      <c r="CL29" s="285">
        <v>-0.003</v>
      </c>
      <c r="CM29" s="285">
        <v>0.002</v>
      </c>
      <c r="CN29" s="284">
        <v>-0.698</v>
      </c>
      <c r="CO29" s="284">
        <v>-0.766</v>
      </c>
      <c r="CP29" s="284">
        <v>-0.958</v>
      </c>
      <c r="CQ29" s="284"/>
      <c r="CR29" s="260"/>
      <c r="CS29" s="284">
        <v>-0.951</v>
      </c>
      <c r="CT29" s="285"/>
      <c r="CV29" s="284"/>
      <c r="CW29" s="284"/>
      <c r="CX29" s="27"/>
      <c r="CY29" s="27"/>
      <c r="CZ29" s="284"/>
      <c r="DA29" s="286"/>
    </row>
    <row r="30" spans="1:105" ht="9" customHeight="1">
      <c r="A30" s="319"/>
      <c r="B30" s="28"/>
      <c r="C30" s="258"/>
      <c r="D30" s="259"/>
      <c r="E30" s="258"/>
      <c r="F30" s="259"/>
      <c r="G30" s="259"/>
      <c r="H30" s="259"/>
      <c r="I30" s="259"/>
      <c r="J30" s="259"/>
      <c r="K30" s="258"/>
      <c r="L30" s="259"/>
      <c r="M30" s="258"/>
      <c r="N30" s="259"/>
      <c r="O30" s="259"/>
      <c r="P30" s="259"/>
      <c r="Q30" s="258"/>
      <c r="R30" s="259"/>
      <c r="S30" s="258"/>
      <c r="T30" s="259"/>
      <c r="U30" s="258"/>
      <c r="V30" s="259"/>
      <c r="W30" s="258"/>
      <c r="X30" s="259"/>
      <c r="Y30" s="259"/>
      <c r="Z30" s="258"/>
      <c r="AA30" s="259"/>
      <c r="AB30" s="258"/>
      <c r="AC30" s="259"/>
      <c r="AD30" s="258"/>
      <c r="AE30" s="258"/>
      <c r="AF30" s="259"/>
      <c r="AG30" s="258"/>
      <c r="AH30" s="258"/>
      <c r="AI30" s="258"/>
      <c r="AJ30" s="201"/>
      <c r="AK30" s="259"/>
      <c r="AL30" s="201"/>
      <c r="AM30" s="259"/>
      <c r="AN30" s="201"/>
      <c r="AO30" s="259"/>
      <c r="AP30" s="201"/>
      <c r="AQ30" s="259"/>
      <c r="AR30" s="201"/>
      <c r="AS30" s="201"/>
      <c r="AT30" s="259"/>
      <c r="AU30" s="201"/>
      <c r="AV30" s="259"/>
      <c r="AW30" s="201"/>
      <c r="AX30" s="259"/>
      <c r="AY30" s="201"/>
      <c r="AZ30" s="201"/>
      <c r="BA30" s="259"/>
      <c r="BB30" s="201"/>
      <c r="BC30" s="201"/>
      <c r="BD30" s="259"/>
      <c r="BE30" s="201"/>
      <c r="BF30" s="259"/>
      <c r="BG30" s="201"/>
      <c r="BH30" s="259"/>
      <c r="BI30" s="204"/>
      <c r="BJ30" s="259"/>
      <c r="BK30" s="201"/>
      <c r="BL30" s="269"/>
      <c r="BM30" s="259"/>
      <c r="BN30" s="259"/>
      <c r="BO30" s="201"/>
      <c r="BP30" s="201"/>
      <c r="BQ30" s="201"/>
      <c r="BR30" s="201"/>
      <c r="BS30" s="201"/>
      <c r="BT30" s="202"/>
      <c r="BU30" s="202"/>
      <c r="BV30" s="202"/>
      <c r="BW30" s="201"/>
      <c r="BX30" s="201"/>
      <c r="BY30" s="201"/>
      <c r="BZ30" s="202"/>
      <c r="CA30" s="201"/>
      <c r="CB30" s="202"/>
      <c r="CC30" s="202"/>
      <c r="CD30" s="201"/>
      <c r="CE30" s="201"/>
      <c r="CF30" s="202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2"/>
      <c r="CS30" s="201"/>
      <c r="CT30" s="201"/>
      <c r="CV30" s="201"/>
      <c r="CW30" s="201"/>
      <c r="CX30" s="27"/>
      <c r="CY30" s="27"/>
      <c r="CZ30" s="201"/>
      <c r="DA30" s="201"/>
    </row>
    <row r="31" spans="1:223" s="293" customFormat="1" ht="12.75">
      <c r="A31" s="318" t="s">
        <v>533</v>
      </c>
      <c r="B31" s="168"/>
      <c r="C31" s="291"/>
      <c r="D31" s="292"/>
      <c r="E31" s="291"/>
      <c r="F31" s="292"/>
      <c r="G31" s="292" t="s">
        <v>596</v>
      </c>
      <c r="H31" s="292"/>
      <c r="I31" s="292"/>
      <c r="J31" s="292" t="s">
        <v>596</v>
      </c>
      <c r="K31" s="291"/>
      <c r="L31" s="292"/>
      <c r="M31" s="292"/>
      <c r="N31" s="292"/>
      <c r="O31" s="292"/>
      <c r="P31" s="292"/>
      <c r="Q31" s="291"/>
      <c r="R31" s="292"/>
      <c r="S31" s="291"/>
      <c r="T31" s="292"/>
      <c r="U31" s="291"/>
      <c r="V31" s="291"/>
      <c r="W31" s="292"/>
      <c r="X31" s="292"/>
      <c r="Y31" s="292"/>
      <c r="Z31" s="292" t="s">
        <v>596</v>
      </c>
      <c r="AA31" s="292"/>
      <c r="AB31" s="292"/>
      <c r="AC31" s="292"/>
      <c r="AD31" s="292"/>
      <c r="AE31" s="292"/>
      <c r="AF31" s="292"/>
      <c r="AG31" s="292"/>
      <c r="AH31" s="292"/>
      <c r="AI31" s="292"/>
      <c r="AJ31" s="291"/>
      <c r="AK31" s="292"/>
      <c r="AL31" s="292"/>
      <c r="AM31" s="292"/>
      <c r="AN31" s="291"/>
      <c r="AO31" s="292"/>
      <c r="AP31" s="291"/>
      <c r="AQ31" s="292"/>
      <c r="AR31" s="292"/>
      <c r="AS31" s="292"/>
      <c r="AT31" s="292"/>
      <c r="AU31" s="291"/>
      <c r="AV31" s="292"/>
      <c r="AW31" s="291"/>
      <c r="AX31" s="292"/>
      <c r="AY31" s="292"/>
      <c r="AZ31" s="292" t="s">
        <v>596</v>
      </c>
      <c r="BA31" s="292"/>
      <c r="BB31" s="292"/>
      <c r="BC31" s="292"/>
      <c r="BD31" s="292"/>
      <c r="BE31" s="292"/>
      <c r="BF31" s="292"/>
      <c r="BG31" s="292"/>
      <c r="BH31" s="291"/>
      <c r="BI31" s="291"/>
      <c r="BJ31" s="291"/>
      <c r="BK31" s="292"/>
      <c r="BL31" s="292" t="s">
        <v>599</v>
      </c>
      <c r="BM31" s="291"/>
      <c r="BN31" s="291"/>
      <c r="BO31" s="292"/>
      <c r="BP31" s="292" t="s">
        <v>599</v>
      </c>
      <c r="BQ31" s="292"/>
      <c r="BR31" s="292"/>
      <c r="BS31" s="292" t="s">
        <v>601</v>
      </c>
      <c r="BT31" s="292"/>
      <c r="BU31" s="292"/>
      <c r="BV31" s="292"/>
      <c r="BW31" s="292" t="s">
        <v>599</v>
      </c>
      <c r="BX31" s="292" t="s">
        <v>603</v>
      </c>
      <c r="BY31" s="291"/>
      <c r="BZ31" s="292"/>
      <c r="CA31" s="292"/>
      <c r="CB31" s="292"/>
      <c r="CC31" s="292"/>
      <c r="CD31" s="292" t="s">
        <v>599</v>
      </c>
      <c r="CE31" s="291"/>
      <c r="CF31" s="291"/>
      <c r="CG31" s="292"/>
      <c r="CH31" s="292"/>
      <c r="CI31" s="292" t="s">
        <v>599</v>
      </c>
      <c r="CJ31" s="292" t="s">
        <v>599</v>
      </c>
      <c r="CK31" s="292"/>
      <c r="CL31" s="292" t="s">
        <v>599</v>
      </c>
      <c r="CM31" s="292" t="s">
        <v>599</v>
      </c>
      <c r="CN31" s="292"/>
      <c r="CO31" s="292"/>
      <c r="CP31" s="292" t="s">
        <v>599</v>
      </c>
      <c r="CQ31" s="292" t="s">
        <v>599</v>
      </c>
      <c r="CR31" s="291"/>
      <c r="CT31" s="292" t="s">
        <v>599</v>
      </c>
      <c r="CV31" s="294"/>
      <c r="CW31" s="294"/>
      <c r="CX31" s="74"/>
      <c r="CY31" s="7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4"/>
      <c r="EH31" s="294"/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4"/>
      <c r="ET31" s="294"/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  <c r="FF31" s="294"/>
      <c r="FG31" s="294"/>
      <c r="FH31" s="294"/>
      <c r="FI31" s="294"/>
      <c r="FJ31" s="294"/>
      <c r="FK31" s="294"/>
      <c r="FL31" s="294"/>
      <c r="FM31" s="294"/>
      <c r="FN31" s="294"/>
      <c r="FO31" s="294"/>
      <c r="FP31" s="294"/>
      <c r="FQ31" s="294"/>
      <c r="FR31" s="294"/>
      <c r="FS31" s="294"/>
      <c r="FT31" s="294"/>
      <c r="FU31" s="294"/>
      <c r="FV31" s="294"/>
      <c r="FW31" s="294"/>
      <c r="FX31" s="294"/>
      <c r="FY31" s="294"/>
      <c r="FZ31" s="294"/>
      <c r="GA31" s="294"/>
      <c r="GB31" s="294"/>
      <c r="GC31" s="294"/>
      <c r="GD31" s="294"/>
      <c r="GE31" s="294"/>
      <c r="GF31" s="294"/>
      <c r="GG31" s="294"/>
      <c r="GH31" s="294"/>
      <c r="GI31" s="294"/>
      <c r="GJ31" s="294"/>
      <c r="GK31" s="294"/>
      <c r="GL31" s="294"/>
      <c r="GM31" s="294"/>
      <c r="GN31" s="294"/>
      <c r="GO31" s="294"/>
      <c r="GP31" s="294"/>
      <c r="GQ31" s="294"/>
      <c r="GR31" s="294"/>
      <c r="GS31" s="294"/>
      <c r="GT31" s="294"/>
      <c r="GU31" s="294"/>
      <c r="GV31" s="294"/>
      <c r="GW31" s="294"/>
      <c r="GX31" s="294"/>
      <c r="GY31" s="294"/>
      <c r="GZ31" s="294"/>
      <c r="HA31" s="294"/>
      <c r="HB31" s="294"/>
      <c r="HC31" s="294"/>
      <c r="HD31" s="294"/>
      <c r="HE31" s="294"/>
      <c r="HF31" s="294"/>
      <c r="HG31" s="294"/>
      <c r="HH31" s="294"/>
      <c r="HI31" s="294"/>
      <c r="HJ31" s="294"/>
      <c r="HK31" s="294"/>
      <c r="HL31" s="294"/>
      <c r="HM31" s="294"/>
      <c r="HN31" s="294"/>
      <c r="HO31" s="294"/>
    </row>
    <row r="32" spans="1:223" s="293" customFormat="1" ht="12.75">
      <c r="A32" s="283"/>
      <c r="B32" s="168"/>
      <c r="C32" s="292"/>
      <c r="D32" s="292"/>
      <c r="E32" s="291"/>
      <c r="F32" s="292"/>
      <c r="G32" s="292" t="s">
        <v>595</v>
      </c>
      <c r="H32" s="292"/>
      <c r="I32" s="292"/>
      <c r="J32" s="292" t="s">
        <v>597</v>
      </c>
      <c r="K32" s="292"/>
      <c r="L32" s="292"/>
      <c r="M32" s="292"/>
      <c r="N32" s="292"/>
      <c r="O32" s="292"/>
      <c r="P32" s="292"/>
      <c r="Q32" s="291"/>
      <c r="R32" s="292"/>
      <c r="S32" s="291"/>
      <c r="T32" s="292"/>
      <c r="U32" s="291"/>
      <c r="V32" s="291"/>
      <c r="W32" s="292"/>
      <c r="X32" s="292"/>
      <c r="Y32" s="292"/>
      <c r="Z32" s="292" t="s">
        <v>598</v>
      </c>
      <c r="AA32" s="292"/>
      <c r="AB32" s="292"/>
      <c r="AC32" s="292"/>
      <c r="AD32" s="292"/>
      <c r="AE32" s="292"/>
      <c r="AF32" s="292"/>
      <c r="AG32" s="292"/>
      <c r="AH32" s="292"/>
      <c r="AI32" s="292"/>
      <c r="AJ32" s="291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1"/>
      <c r="AV32" s="292"/>
      <c r="AW32" s="292"/>
      <c r="AX32" s="292"/>
      <c r="AY32" s="292"/>
      <c r="AZ32" s="292" t="s">
        <v>597</v>
      </c>
      <c r="BA32" s="292"/>
      <c r="BB32" s="292"/>
      <c r="BC32" s="292"/>
      <c r="BD32" s="292"/>
      <c r="BE32" s="292"/>
      <c r="BF32" s="292"/>
      <c r="BG32" s="292"/>
      <c r="BH32" s="292"/>
      <c r="BI32" s="291"/>
      <c r="BJ32" s="292"/>
      <c r="BK32" s="292"/>
      <c r="BL32" s="292" t="s">
        <v>600</v>
      </c>
      <c r="BM32" s="292"/>
      <c r="BN32" s="292"/>
      <c r="BO32" s="292"/>
      <c r="BP32" s="292" t="s">
        <v>600</v>
      </c>
      <c r="BQ32" s="292"/>
      <c r="BR32" s="292"/>
      <c r="BS32" s="292" t="s">
        <v>602</v>
      </c>
      <c r="BT32" s="292"/>
      <c r="BU32" s="292"/>
      <c r="BV32" s="292"/>
      <c r="BW32" s="292" t="s">
        <v>600</v>
      </c>
      <c r="BX32" s="292" t="s">
        <v>604</v>
      </c>
      <c r="BY32" s="292"/>
      <c r="BZ32" s="292"/>
      <c r="CA32" s="292"/>
      <c r="CB32" s="292"/>
      <c r="CC32" s="292"/>
      <c r="CD32" s="292" t="s">
        <v>600</v>
      </c>
      <c r="CE32" s="292"/>
      <c r="CF32" s="292"/>
      <c r="CG32" s="292"/>
      <c r="CI32" s="292" t="s">
        <v>600</v>
      </c>
      <c r="CJ32" s="292" t="s">
        <v>600</v>
      </c>
      <c r="CK32" s="292"/>
      <c r="CL32" s="292" t="s">
        <v>600</v>
      </c>
      <c r="CM32" s="292" t="s">
        <v>600</v>
      </c>
      <c r="CN32" s="292"/>
      <c r="CO32" s="292"/>
      <c r="CP32" s="292" t="s">
        <v>600</v>
      </c>
      <c r="CQ32" s="292" t="s">
        <v>600</v>
      </c>
      <c r="CR32" s="292"/>
      <c r="CT32" s="292" t="s">
        <v>600</v>
      </c>
      <c r="CV32" s="294"/>
      <c r="CW32" s="294"/>
      <c r="CX32" s="74"/>
      <c r="CY32" s="7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4"/>
      <c r="DX32" s="294"/>
      <c r="DY32" s="294"/>
      <c r="DZ32" s="294"/>
      <c r="EA32" s="294"/>
      <c r="EB32" s="294"/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4"/>
      <c r="EP32" s="294"/>
      <c r="EQ32" s="294"/>
      <c r="ER32" s="294"/>
      <c r="ES32" s="294"/>
      <c r="ET32" s="294"/>
      <c r="EU32" s="294"/>
      <c r="EV32" s="294"/>
      <c r="EW32" s="294"/>
      <c r="EX32" s="294"/>
      <c r="EY32" s="294"/>
      <c r="EZ32" s="294"/>
      <c r="FA32" s="294"/>
      <c r="FB32" s="294"/>
      <c r="FC32" s="294"/>
      <c r="FD32" s="294"/>
      <c r="FE32" s="294"/>
      <c r="FF32" s="294"/>
      <c r="FG32" s="294"/>
      <c r="FH32" s="294"/>
      <c r="FI32" s="294"/>
      <c r="FJ32" s="294"/>
      <c r="FK32" s="294"/>
      <c r="FL32" s="294"/>
      <c r="FM32" s="294"/>
      <c r="FN32" s="294"/>
      <c r="FO32" s="294"/>
      <c r="FP32" s="294"/>
      <c r="FQ32" s="294"/>
      <c r="FR32" s="294"/>
      <c r="FS32" s="294"/>
      <c r="FT32" s="294"/>
      <c r="FU32" s="294"/>
      <c r="FV32" s="294"/>
      <c r="FW32" s="294"/>
      <c r="FX32" s="294"/>
      <c r="FY32" s="294"/>
      <c r="FZ32" s="294"/>
      <c r="GA32" s="294"/>
      <c r="GB32" s="294"/>
      <c r="GC32" s="294"/>
      <c r="GD32" s="294"/>
      <c r="GE32" s="294"/>
      <c r="GF32" s="294"/>
      <c r="GG32" s="294"/>
      <c r="GH32" s="294"/>
      <c r="GI32" s="294"/>
      <c r="GJ32" s="294"/>
      <c r="GK32" s="294"/>
      <c r="GL32" s="294"/>
      <c r="GM32" s="294"/>
      <c r="GN32" s="294"/>
      <c r="GO32" s="294"/>
      <c r="GP32" s="294"/>
      <c r="GQ32" s="294"/>
      <c r="GR32" s="294"/>
      <c r="GS32" s="294"/>
      <c r="GT32" s="294"/>
      <c r="GU32" s="294"/>
      <c r="GV32" s="294"/>
      <c r="GW32" s="294"/>
      <c r="GX32" s="294"/>
      <c r="GY32" s="294"/>
      <c r="GZ32" s="294"/>
      <c r="HA32" s="294"/>
      <c r="HB32" s="294"/>
      <c r="HC32" s="294"/>
      <c r="HD32" s="294"/>
      <c r="HE32" s="294"/>
      <c r="HF32" s="294"/>
      <c r="HG32" s="294"/>
      <c r="HH32" s="294"/>
      <c r="HI32" s="294"/>
      <c r="HJ32" s="294"/>
      <c r="HK32" s="294"/>
      <c r="HL32" s="294"/>
      <c r="HM32" s="294"/>
      <c r="HN32" s="294"/>
      <c r="HO32" s="294"/>
    </row>
    <row r="33" spans="1:223" s="293" customFormat="1" ht="12.75">
      <c r="A33" s="283"/>
      <c r="B33" s="295"/>
      <c r="C33" s="296"/>
      <c r="D33" s="292"/>
      <c r="E33" s="296"/>
      <c r="F33" s="292"/>
      <c r="G33" s="292"/>
      <c r="H33" s="292"/>
      <c r="I33" s="292"/>
      <c r="J33" s="292"/>
      <c r="K33" s="296"/>
      <c r="L33" s="292"/>
      <c r="M33" s="292"/>
      <c r="N33" s="292"/>
      <c r="O33" s="292"/>
      <c r="P33" s="292"/>
      <c r="Q33" s="296"/>
      <c r="R33" s="292"/>
      <c r="S33" s="296"/>
      <c r="T33" s="292"/>
      <c r="U33" s="296"/>
      <c r="V33" s="296"/>
      <c r="W33" s="292"/>
      <c r="X33" s="292"/>
      <c r="Y33" s="292"/>
      <c r="Z33" s="291"/>
      <c r="AA33" s="292"/>
      <c r="AB33" s="292"/>
      <c r="AC33" s="292"/>
      <c r="AD33" s="292"/>
      <c r="AE33" s="292"/>
      <c r="AF33" s="292"/>
      <c r="AG33" s="292"/>
      <c r="AH33" s="292"/>
      <c r="AI33" s="292"/>
      <c r="AJ33" s="296"/>
      <c r="AK33" s="292"/>
      <c r="AL33" s="292"/>
      <c r="AM33" s="292"/>
      <c r="AN33" s="296"/>
      <c r="AO33" s="292"/>
      <c r="AP33" s="296"/>
      <c r="AQ33" s="292"/>
      <c r="AR33" s="292"/>
      <c r="AS33" s="292"/>
      <c r="AT33" s="292"/>
      <c r="AU33" s="296"/>
      <c r="AV33" s="292"/>
      <c r="AW33" s="296"/>
      <c r="AX33" s="292"/>
      <c r="AY33" s="292"/>
      <c r="AZ33" s="296"/>
      <c r="BA33" s="292"/>
      <c r="BB33" s="292"/>
      <c r="BC33" s="292"/>
      <c r="BD33" s="292"/>
      <c r="BE33" s="292"/>
      <c r="BF33" s="292"/>
      <c r="BG33" s="292"/>
      <c r="BH33" s="296"/>
      <c r="BI33" s="291"/>
      <c r="BJ33" s="296"/>
      <c r="BK33" s="292"/>
      <c r="BM33" s="296"/>
      <c r="BN33" s="296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 t="s">
        <v>605</v>
      </c>
      <c r="BY33" s="296"/>
      <c r="BZ33" s="292"/>
      <c r="CA33" s="292"/>
      <c r="CB33" s="292"/>
      <c r="CC33" s="292"/>
      <c r="CD33" s="292"/>
      <c r="CE33" s="296"/>
      <c r="CF33" s="296"/>
      <c r="CG33" s="292"/>
      <c r="CJ33" s="292"/>
      <c r="CK33" s="292"/>
      <c r="CL33" s="292"/>
      <c r="CM33" s="292"/>
      <c r="CN33" s="292"/>
      <c r="CO33" s="292"/>
      <c r="CP33" s="292"/>
      <c r="CR33" s="296"/>
      <c r="CT33" s="292"/>
      <c r="CV33" s="294"/>
      <c r="CW33" s="294"/>
      <c r="CX33" s="74"/>
      <c r="CY33" s="7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94"/>
      <c r="DX33" s="294"/>
      <c r="DY33" s="294"/>
      <c r="DZ33" s="294"/>
      <c r="EA33" s="294"/>
      <c r="EB33" s="294"/>
      <c r="EC33" s="294"/>
      <c r="ED33" s="294"/>
      <c r="EE33" s="294"/>
      <c r="EF33" s="294"/>
      <c r="EG33" s="294"/>
      <c r="EH33" s="294"/>
      <c r="EI33" s="294"/>
      <c r="EJ33" s="294"/>
      <c r="EK33" s="294"/>
      <c r="EL33" s="294"/>
      <c r="EM33" s="294"/>
      <c r="EN33" s="294"/>
      <c r="EO33" s="294"/>
      <c r="EP33" s="294"/>
      <c r="EQ33" s="294"/>
      <c r="ER33" s="294"/>
      <c r="ES33" s="294"/>
      <c r="ET33" s="294"/>
      <c r="EU33" s="294"/>
      <c r="EV33" s="294"/>
      <c r="EW33" s="294"/>
      <c r="EX33" s="294"/>
      <c r="EY33" s="294"/>
      <c r="EZ33" s="294"/>
      <c r="FA33" s="294"/>
      <c r="FB33" s="294"/>
      <c r="FC33" s="294"/>
      <c r="FD33" s="294"/>
      <c r="FE33" s="294"/>
      <c r="FF33" s="294"/>
      <c r="FG33" s="294"/>
      <c r="FH33" s="294"/>
      <c r="FI33" s="294"/>
      <c r="FJ33" s="294"/>
      <c r="FK33" s="294"/>
      <c r="FL33" s="294"/>
      <c r="FM33" s="294"/>
      <c r="FN33" s="294"/>
      <c r="FO33" s="294"/>
      <c r="FP33" s="294"/>
      <c r="FQ33" s="294"/>
      <c r="FR33" s="294"/>
      <c r="FS33" s="294"/>
      <c r="FT33" s="294"/>
      <c r="FU33" s="294"/>
      <c r="FV33" s="294"/>
      <c r="FW33" s="294"/>
      <c r="FX33" s="294"/>
      <c r="FY33" s="294"/>
      <c r="FZ33" s="294"/>
      <c r="GA33" s="294"/>
      <c r="GB33" s="294"/>
      <c r="GC33" s="294"/>
      <c r="GD33" s="294"/>
      <c r="GE33" s="294"/>
      <c r="GF33" s="294"/>
      <c r="GG33" s="294"/>
      <c r="GH33" s="294"/>
      <c r="GI33" s="294"/>
      <c r="GJ33" s="294"/>
      <c r="GK33" s="294"/>
      <c r="GL33" s="294"/>
      <c r="GM33" s="294"/>
      <c r="GN33" s="294"/>
      <c r="GO33" s="294"/>
      <c r="GP33" s="294"/>
      <c r="GQ33" s="294"/>
      <c r="GR33" s="294"/>
      <c r="GS33" s="294"/>
      <c r="GT33" s="294"/>
      <c r="GU33" s="294"/>
      <c r="GV33" s="294"/>
      <c r="GW33" s="294"/>
      <c r="GX33" s="294"/>
      <c r="GY33" s="294"/>
      <c r="GZ33" s="294"/>
      <c r="HA33" s="294"/>
      <c r="HB33" s="294"/>
      <c r="HC33" s="294"/>
      <c r="HD33" s="294"/>
      <c r="HE33" s="294"/>
      <c r="HF33" s="294"/>
      <c r="HG33" s="294"/>
      <c r="HH33" s="294"/>
      <c r="HI33" s="294"/>
      <c r="HJ33" s="294"/>
      <c r="HK33" s="294"/>
      <c r="HL33" s="294"/>
      <c r="HM33" s="294"/>
      <c r="HN33" s="294"/>
      <c r="HO33" s="294"/>
    </row>
    <row r="34" spans="1:105" ht="12.75">
      <c r="A34" s="73"/>
      <c r="D34" s="270"/>
      <c r="E34" s="270"/>
      <c r="F34" s="270"/>
      <c r="G34" s="270"/>
      <c r="H34" s="270"/>
      <c r="I34" s="270"/>
      <c r="J34" s="270"/>
      <c r="L34" s="270"/>
      <c r="P34" s="270"/>
      <c r="Q34" s="297"/>
      <c r="R34" s="270"/>
      <c r="T34" s="270"/>
      <c r="U34" s="296"/>
      <c r="V34" s="296"/>
      <c r="W34" s="96"/>
      <c r="Z34" s="97"/>
      <c r="AA34" s="171"/>
      <c r="AB34" s="97"/>
      <c r="AD34" s="97"/>
      <c r="AE34" s="97"/>
      <c r="AH34" s="73"/>
      <c r="AI34" s="74"/>
      <c r="AJ34" s="74"/>
      <c r="AL34" s="74"/>
      <c r="AN34" s="74"/>
      <c r="AR34" s="74"/>
      <c r="AS34" s="73"/>
      <c r="AU34" s="74"/>
      <c r="AW34" s="74"/>
      <c r="AY34" s="74"/>
      <c r="BC34" s="74"/>
      <c r="BE34" s="74"/>
      <c r="BG34" s="74"/>
      <c r="BI34" s="120"/>
      <c r="BK34" s="74"/>
      <c r="BO34" s="74"/>
      <c r="BP34" s="74"/>
      <c r="BQ34" s="74"/>
      <c r="BR34" s="74"/>
      <c r="BS34" s="74"/>
      <c r="BT34" s="171"/>
      <c r="BU34" s="171"/>
      <c r="BV34" s="171"/>
      <c r="BW34" s="270"/>
      <c r="BX34" s="270"/>
      <c r="BY34" s="74"/>
      <c r="BZ34" s="171"/>
      <c r="CA34" s="270"/>
      <c r="CB34" s="171"/>
      <c r="CC34" s="171"/>
      <c r="CD34" s="74"/>
      <c r="CE34" s="74"/>
      <c r="CF34" s="171"/>
      <c r="CG34" s="73"/>
      <c r="CH34" s="74"/>
      <c r="CI34" s="270"/>
      <c r="CJ34" s="74"/>
      <c r="CL34" s="73"/>
      <c r="CM34" s="74"/>
      <c r="CN34" s="74"/>
      <c r="CO34" s="74"/>
      <c r="CP34" s="270"/>
      <c r="CQ34" s="74"/>
      <c r="CR34" s="171"/>
      <c r="CT34" s="74"/>
      <c r="CX34" s="27"/>
      <c r="CY34" s="27"/>
      <c r="CZ34" s="74"/>
      <c r="DA34" s="74"/>
    </row>
    <row r="35" spans="1:105" ht="12.75">
      <c r="A35" s="74"/>
      <c r="C35" s="95"/>
      <c r="E35" s="96"/>
      <c r="K35" s="97"/>
      <c r="M35" s="97"/>
      <c r="N35" s="171"/>
      <c r="O35" s="171"/>
      <c r="Q35" s="97"/>
      <c r="S35" s="97"/>
      <c r="W35" s="97"/>
      <c r="X35" s="171"/>
      <c r="Y35" s="171"/>
      <c r="Z35" s="97"/>
      <c r="AA35" s="171"/>
      <c r="AB35" s="97"/>
      <c r="AC35" s="171"/>
      <c r="AD35" s="97"/>
      <c r="AE35" s="97"/>
      <c r="AF35" s="171"/>
      <c r="AG35" s="74"/>
      <c r="AH35" s="74"/>
      <c r="AI35" s="74"/>
      <c r="AJ35" s="74"/>
      <c r="AK35" s="171"/>
      <c r="AL35" s="74"/>
      <c r="AM35" s="171"/>
      <c r="AN35" s="74"/>
      <c r="AO35" s="171"/>
      <c r="AP35" s="74"/>
      <c r="AQ35" s="171"/>
      <c r="AR35" s="74"/>
      <c r="AS35" s="74"/>
      <c r="AT35" s="171"/>
      <c r="AU35" s="74"/>
      <c r="AV35" s="171"/>
      <c r="AW35" s="74"/>
      <c r="AX35" s="171"/>
      <c r="AY35" s="74"/>
      <c r="BA35" s="171"/>
      <c r="BB35" s="74"/>
      <c r="BC35" s="74"/>
      <c r="BD35" s="171"/>
      <c r="BE35" s="74"/>
      <c r="BF35" s="171"/>
      <c r="BG35" s="74"/>
      <c r="BH35" s="171"/>
      <c r="BI35" s="80"/>
      <c r="BJ35" s="171"/>
      <c r="BK35" s="74"/>
      <c r="BL35" s="74"/>
      <c r="BM35" s="171"/>
      <c r="BN35" s="171"/>
      <c r="BO35" s="74"/>
      <c r="BP35" s="74"/>
      <c r="BQ35" s="74"/>
      <c r="BR35" s="74"/>
      <c r="BS35" s="74"/>
      <c r="BT35" s="171"/>
      <c r="BU35" s="171"/>
      <c r="BV35" s="171"/>
      <c r="BX35" s="270"/>
      <c r="BY35" s="74"/>
      <c r="BZ35" s="171"/>
      <c r="CA35" s="270"/>
      <c r="CB35" s="171"/>
      <c r="CC35" s="171"/>
      <c r="CD35" s="74"/>
      <c r="CE35" s="74"/>
      <c r="CF35" s="171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171"/>
      <c r="CS35" s="74"/>
      <c r="CT35" s="74"/>
      <c r="CV35" s="74"/>
      <c r="CW35" s="74"/>
      <c r="CX35" s="27"/>
      <c r="CY35" s="27"/>
      <c r="CZ35" s="74"/>
      <c r="DA35" s="74"/>
    </row>
    <row r="36" spans="1:105" ht="12.75">
      <c r="A36" s="184"/>
      <c r="C36" s="184" t="s">
        <v>578</v>
      </c>
      <c r="E36" s="96"/>
      <c r="I36" s="184" t="s">
        <v>578</v>
      </c>
      <c r="O36" s="184" t="s">
        <v>578</v>
      </c>
      <c r="P36" s="95"/>
      <c r="Q36" s="32"/>
      <c r="R36" s="97"/>
      <c r="S36" s="171"/>
      <c r="U36" s="32"/>
      <c r="V36" s="184" t="s">
        <v>578</v>
      </c>
      <c r="W36" s="32"/>
      <c r="X36" s="97"/>
      <c r="AA36" s="184"/>
      <c r="AB36" s="184" t="s">
        <v>578</v>
      </c>
      <c r="AD36" s="95"/>
      <c r="AE36" s="32"/>
      <c r="AF36" s="97"/>
      <c r="AG36" s="32"/>
      <c r="AH36" s="184" t="s">
        <v>578</v>
      </c>
      <c r="AJ36" s="32"/>
      <c r="AK36" s="112"/>
      <c r="AL36" s="95"/>
      <c r="AM36" s="95"/>
      <c r="AN36" s="184" t="s">
        <v>578</v>
      </c>
      <c r="AO36" s="97"/>
      <c r="AT36" s="184" t="s">
        <v>578</v>
      </c>
      <c r="AU36" s="32"/>
      <c r="AV36" s="97"/>
      <c r="AW36" s="32"/>
      <c r="AX36" s="97"/>
      <c r="AY36" s="32"/>
      <c r="AZ36" s="184" t="s">
        <v>578</v>
      </c>
      <c r="BF36" s="184" t="s">
        <v>578</v>
      </c>
      <c r="BG36" s="121"/>
      <c r="BI36" s="112"/>
      <c r="BL36" s="184" t="s">
        <v>578</v>
      </c>
      <c r="BN36" s="112"/>
      <c r="BO36" s="95"/>
      <c r="BP36" s="97"/>
      <c r="BR36" s="184" t="s">
        <v>578</v>
      </c>
      <c r="BT36" s="184"/>
      <c r="BU36" s="203"/>
      <c r="BX36" s="184" t="s">
        <v>578</v>
      </c>
      <c r="BY36" s="32"/>
      <c r="BZ36" s="95"/>
      <c r="CA36" s="97"/>
      <c r="CB36" s="184"/>
      <c r="CC36" s="96"/>
      <c r="CD36" s="184" t="s">
        <v>578</v>
      </c>
      <c r="CJ36" s="184" t="s">
        <v>578</v>
      </c>
      <c r="CL36" s="95"/>
      <c r="CM36" s="95"/>
      <c r="CN36" s="96"/>
      <c r="CO36" s="97"/>
      <c r="CP36" s="184" t="s">
        <v>578</v>
      </c>
      <c r="CQ36" s="95"/>
      <c r="CR36" s="184"/>
      <c r="CS36" s="97"/>
      <c r="CT36" s="184"/>
      <c r="CU36" s="95"/>
      <c r="CV36" s="96"/>
      <c r="CW36" s="97"/>
      <c r="CX36" s="27"/>
      <c r="CY36" s="27"/>
      <c r="CZ36" s="97"/>
      <c r="DA36" s="74"/>
    </row>
    <row r="37" spans="1:105" ht="12.75">
      <c r="A37" s="171"/>
      <c r="C37" s="171" t="s">
        <v>586</v>
      </c>
      <c r="D37" s="171"/>
      <c r="E37" s="97"/>
      <c r="F37" s="171"/>
      <c r="G37" s="171"/>
      <c r="H37" s="171"/>
      <c r="I37" s="171" t="s">
        <v>586</v>
      </c>
      <c r="O37" s="171" t="s">
        <v>586</v>
      </c>
      <c r="P37" s="97"/>
      <c r="Q37" s="171"/>
      <c r="R37" s="97"/>
      <c r="S37" s="171"/>
      <c r="U37" s="171"/>
      <c r="V37" s="171" t="s">
        <v>586</v>
      </c>
      <c r="W37" s="171"/>
      <c r="X37" s="97"/>
      <c r="Y37" s="171"/>
      <c r="AA37" s="171"/>
      <c r="AB37" s="171" t="s">
        <v>586</v>
      </c>
      <c r="AC37" s="171"/>
      <c r="AD37" s="97"/>
      <c r="AE37" s="32"/>
      <c r="AF37" s="97"/>
      <c r="AG37" s="171"/>
      <c r="AH37" s="171" t="s">
        <v>586</v>
      </c>
      <c r="AJ37" s="171"/>
      <c r="AK37" s="112"/>
      <c r="AL37" s="97"/>
      <c r="AM37" s="97"/>
      <c r="AN37" s="171" t="s">
        <v>586</v>
      </c>
      <c r="AO37" s="97"/>
      <c r="AT37" s="171" t="s">
        <v>586</v>
      </c>
      <c r="AU37" s="171"/>
      <c r="AV37" s="97"/>
      <c r="AW37" s="171"/>
      <c r="AX37" s="97"/>
      <c r="AY37" s="171"/>
      <c r="AZ37" s="171" t="s">
        <v>586</v>
      </c>
      <c r="BA37" s="171"/>
      <c r="BD37" s="171"/>
      <c r="BF37" s="171" t="s">
        <v>586</v>
      </c>
      <c r="BG37" s="98"/>
      <c r="BH37" s="171"/>
      <c r="BI37" s="112"/>
      <c r="BL37" s="171" t="s">
        <v>586</v>
      </c>
      <c r="BM37" s="171"/>
      <c r="BN37" s="112"/>
      <c r="BO37" s="97"/>
      <c r="BP37" s="97"/>
      <c r="BR37" s="171" t="s">
        <v>586</v>
      </c>
      <c r="BT37" s="171"/>
      <c r="BU37" s="112"/>
      <c r="BX37" s="171" t="s">
        <v>586</v>
      </c>
      <c r="BY37" s="32"/>
      <c r="BZ37" s="97"/>
      <c r="CA37" s="97"/>
      <c r="CB37" s="171"/>
      <c r="CC37" s="97"/>
      <c r="CD37" s="171" t="s">
        <v>586</v>
      </c>
      <c r="CJ37" s="171" t="s">
        <v>586</v>
      </c>
      <c r="CL37" s="97"/>
      <c r="CM37" s="97"/>
      <c r="CN37" s="97"/>
      <c r="CO37" s="97"/>
      <c r="CP37" s="171" t="s">
        <v>586</v>
      </c>
      <c r="CQ37" s="97"/>
      <c r="CR37" s="171"/>
      <c r="CS37" s="97"/>
      <c r="CT37" s="171"/>
      <c r="CU37" s="97"/>
      <c r="CV37" s="97"/>
      <c r="CW37" s="97"/>
      <c r="CX37" s="27"/>
      <c r="CY37" s="27"/>
      <c r="CZ37" s="97"/>
      <c r="DA37" s="74"/>
    </row>
    <row r="38" spans="1:105" ht="12.75">
      <c r="A38" s="171"/>
      <c r="C38" s="171" t="s">
        <v>579</v>
      </c>
      <c r="E38" s="96"/>
      <c r="I38" s="171" t="s">
        <v>579</v>
      </c>
      <c r="O38" s="171" t="s">
        <v>579</v>
      </c>
      <c r="P38" s="97"/>
      <c r="Q38" s="32"/>
      <c r="R38" s="97"/>
      <c r="S38" s="171"/>
      <c r="U38" s="32"/>
      <c r="V38" s="171" t="s">
        <v>579</v>
      </c>
      <c r="W38" s="32"/>
      <c r="X38" s="97"/>
      <c r="AA38" s="171"/>
      <c r="AB38" s="171" t="s">
        <v>579</v>
      </c>
      <c r="AD38" s="97"/>
      <c r="AE38" s="32"/>
      <c r="AF38" s="97"/>
      <c r="AG38" s="32"/>
      <c r="AH38" s="171" t="s">
        <v>579</v>
      </c>
      <c r="AJ38" s="32"/>
      <c r="AK38" s="112"/>
      <c r="AL38" s="97"/>
      <c r="AM38" s="97"/>
      <c r="AN38" s="171" t="s">
        <v>579</v>
      </c>
      <c r="AO38" s="97"/>
      <c r="AT38" s="171" t="s">
        <v>579</v>
      </c>
      <c r="AU38" s="32"/>
      <c r="AV38" s="97"/>
      <c r="AW38" s="32"/>
      <c r="AX38" s="97"/>
      <c r="AY38" s="32"/>
      <c r="AZ38" s="171" t="s">
        <v>579</v>
      </c>
      <c r="BF38" s="171" t="s">
        <v>579</v>
      </c>
      <c r="BG38" s="98"/>
      <c r="BI38" s="112"/>
      <c r="BL38" s="171" t="s">
        <v>579</v>
      </c>
      <c r="BN38" s="112"/>
      <c r="BO38" s="97"/>
      <c r="BP38" s="97"/>
      <c r="BR38" s="171" t="s">
        <v>579</v>
      </c>
      <c r="BT38" s="171"/>
      <c r="BU38" s="112"/>
      <c r="BX38" s="171" t="s">
        <v>579</v>
      </c>
      <c r="BY38" s="32"/>
      <c r="BZ38" s="97"/>
      <c r="CA38" s="97"/>
      <c r="CB38" s="171"/>
      <c r="CC38" s="96"/>
      <c r="CD38" s="171" t="s">
        <v>579</v>
      </c>
      <c r="CJ38" s="171" t="s">
        <v>579</v>
      </c>
      <c r="CL38" s="97"/>
      <c r="CM38" s="97"/>
      <c r="CN38" s="96"/>
      <c r="CO38" s="97"/>
      <c r="CP38" s="171" t="s">
        <v>579</v>
      </c>
      <c r="CQ38" s="97"/>
      <c r="CR38" s="171"/>
      <c r="CS38" s="97"/>
      <c r="CT38" s="171"/>
      <c r="CU38" s="97"/>
      <c r="CV38" s="96"/>
      <c r="CW38" s="97"/>
      <c r="CX38" s="27"/>
      <c r="CY38" s="27"/>
      <c r="CZ38" s="97"/>
      <c r="DA38" s="74"/>
    </row>
    <row r="39" spans="1:105" ht="12.75">
      <c r="A39" s="171"/>
      <c r="C39" s="171" t="s">
        <v>580</v>
      </c>
      <c r="E39" s="96"/>
      <c r="I39" s="171" t="s">
        <v>580</v>
      </c>
      <c r="O39" s="171" t="s">
        <v>580</v>
      </c>
      <c r="P39" s="97"/>
      <c r="Q39" s="32"/>
      <c r="R39" s="97"/>
      <c r="S39" s="171"/>
      <c r="U39" s="32"/>
      <c r="V39" s="171" t="s">
        <v>580</v>
      </c>
      <c r="W39" s="32"/>
      <c r="X39" s="97"/>
      <c r="AA39" s="171"/>
      <c r="AB39" s="171" t="s">
        <v>580</v>
      </c>
      <c r="AD39" s="97"/>
      <c r="AE39" s="32"/>
      <c r="AF39" s="97"/>
      <c r="AG39" s="32"/>
      <c r="AH39" s="171" t="s">
        <v>580</v>
      </c>
      <c r="AJ39" s="32"/>
      <c r="AK39" s="112"/>
      <c r="AL39" s="97"/>
      <c r="AM39" s="97"/>
      <c r="AN39" s="171" t="s">
        <v>580</v>
      </c>
      <c r="AO39" s="97"/>
      <c r="AT39" s="171" t="s">
        <v>580</v>
      </c>
      <c r="AU39" s="32"/>
      <c r="AV39" s="97"/>
      <c r="AW39" s="32"/>
      <c r="AX39" s="97"/>
      <c r="AY39" s="32"/>
      <c r="AZ39" s="171" t="s">
        <v>580</v>
      </c>
      <c r="BF39" s="171" t="s">
        <v>580</v>
      </c>
      <c r="BG39" s="98"/>
      <c r="BI39" s="112"/>
      <c r="BL39" s="171" t="s">
        <v>580</v>
      </c>
      <c r="BN39" s="112"/>
      <c r="BO39" s="97"/>
      <c r="BP39" s="97"/>
      <c r="BR39" s="171" t="s">
        <v>580</v>
      </c>
      <c r="BT39" s="171"/>
      <c r="BU39" s="112"/>
      <c r="BX39" s="171" t="s">
        <v>580</v>
      </c>
      <c r="BY39" s="32"/>
      <c r="BZ39" s="97"/>
      <c r="CA39" s="97"/>
      <c r="CB39" s="171"/>
      <c r="CC39" s="96"/>
      <c r="CD39" s="171" t="s">
        <v>580</v>
      </c>
      <c r="CJ39" s="171" t="s">
        <v>580</v>
      </c>
      <c r="CL39" s="97"/>
      <c r="CM39" s="97"/>
      <c r="CN39" s="96"/>
      <c r="CO39" s="97"/>
      <c r="CP39" s="171" t="s">
        <v>580</v>
      </c>
      <c r="CQ39" s="97"/>
      <c r="CR39" s="171"/>
      <c r="CS39" s="97"/>
      <c r="CT39" s="171"/>
      <c r="CU39" s="97"/>
      <c r="CV39" s="96"/>
      <c r="CW39" s="97"/>
      <c r="CX39" s="27"/>
      <c r="CY39" s="27"/>
      <c r="CZ39" s="97"/>
      <c r="DA39" s="74"/>
    </row>
    <row r="40" spans="1:105" ht="12.75">
      <c r="A40" s="171"/>
      <c r="C40" s="171" t="s">
        <v>581</v>
      </c>
      <c r="E40" s="96"/>
      <c r="I40" s="171" t="s">
        <v>581</v>
      </c>
      <c r="O40" s="171" t="s">
        <v>581</v>
      </c>
      <c r="P40" s="97"/>
      <c r="Q40" s="32"/>
      <c r="R40" s="97"/>
      <c r="S40" s="171"/>
      <c r="U40" s="32"/>
      <c r="V40" s="171" t="s">
        <v>581</v>
      </c>
      <c r="W40" s="32"/>
      <c r="X40" s="97"/>
      <c r="AA40" s="171"/>
      <c r="AB40" s="171" t="s">
        <v>581</v>
      </c>
      <c r="AD40" s="97"/>
      <c r="AE40" s="32"/>
      <c r="AF40" s="97"/>
      <c r="AG40" s="32"/>
      <c r="AH40" s="171" t="s">
        <v>581</v>
      </c>
      <c r="AJ40" s="32"/>
      <c r="AK40" s="112"/>
      <c r="AL40" s="97"/>
      <c r="AM40" s="97"/>
      <c r="AN40" s="171" t="s">
        <v>581</v>
      </c>
      <c r="AO40" s="97"/>
      <c r="AT40" s="171" t="s">
        <v>581</v>
      </c>
      <c r="AU40" s="32"/>
      <c r="AV40" s="97"/>
      <c r="AW40" s="32"/>
      <c r="AX40" s="97"/>
      <c r="AY40" s="32"/>
      <c r="AZ40" s="171" t="s">
        <v>581</v>
      </c>
      <c r="BF40" s="171" t="s">
        <v>581</v>
      </c>
      <c r="BG40" s="98"/>
      <c r="BI40" s="112"/>
      <c r="BL40" s="171" t="s">
        <v>581</v>
      </c>
      <c r="BN40" s="112"/>
      <c r="BO40" s="97"/>
      <c r="BP40" s="97"/>
      <c r="BR40" s="171" t="s">
        <v>581</v>
      </c>
      <c r="BT40" s="171"/>
      <c r="BU40" s="112"/>
      <c r="BX40" s="171" t="s">
        <v>581</v>
      </c>
      <c r="BY40" s="32"/>
      <c r="BZ40" s="97"/>
      <c r="CA40" s="97"/>
      <c r="CB40" s="171"/>
      <c r="CC40" s="96"/>
      <c r="CD40" s="171" t="s">
        <v>581</v>
      </c>
      <c r="CJ40" s="171" t="s">
        <v>581</v>
      </c>
      <c r="CL40" s="97"/>
      <c r="CM40" s="97"/>
      <c r="CN40" s="96"/>
      <c r="CO40" s="97"/>
      <c r="CP40" s="171" t="s">
        <v>581</v>
      </c>
      <c r="CQ40" s="97"/>
      <c r="CR40" s="171"/>
      <c r="CS40" s="97"/>
      <c r="CT40" s="171"/>
      <c r="CU40" s="97"/>
      <c r="CV40" s="96"/>
      <c r="CW40" s="97"/>
      <c r="CX40" s="27"/>
      <c r="CY40" s="27"/>
      <c r="CZ40" s="97"/>
      <c r="DA40" s="74"/>
    </row>
    <row r="41" spans="1:105" ht="12.75">
      <c r="A41" s="171"/>
      <c r="C41" s="171" t="s">
        <v>582</v>
      </c>
      <c r="E41" s="96"/>
      <c r="I41" s="171" t="s">
        <v>582</v>
      </c>
      <c r="O41" s="171" t="s">
        <v>582</v>
      </c>
      <c r="P41" s="97"/>
      <c r="Q41" s="32"/>
      <c r="R41" s="97"/>
      <c r="S41" s="171"/>
      <c r="U41" s="32"/>
      <c r="V41" s="171" t="s">
        <v>582</v>
      </c>
      <c r="W41" s="32"/>
      <c r="X41" s="97"/>
      <c r="AA41" s="171"/>
      <c r="AB41" s="171" t="s">
        <v>582</v>
      </c>
      <c r="AD41" s="97"/>
      <c r="AE41" s="32"/>
      <c r="AF41" s="97"/>
      <c r="AG41" s="32"/>
      <c r="AH41" s="171" t="s">
        <v>582</v>
      </c>
      <c r="AJ41" s="32"/>
      <c r="AK41" s="112"/>
      <c r="AL41" s="97"/>
      <c r="AM41" s="97"/>
      <c r="AN41" s="171" t="s">
        <v>582</v>
      </c>
      <c r="AO41" s="97"/>
      <c r="AT41" s="171" t="s">
        <v>582</v>
      </c>
      <c r="AU41" s="32"/>
      <c r="AV41" s="97"/>
      <c r="AW41" s="32"/>
      <c r="AX41" s="97"/>
      <c r="AY41" s="32"/>
      <c r="AZ41" s="171" t="s">
        <v>582</v>
      </c>
      <c r="BF41" s="171" t="s">
        <v>582</v>
      </c>
      <c r="BG41" s="98"/>
      <c r="BI41" s="112"/>
      <c r="BL41" s="171" t="s">
        <v>582</v>
      </c>
      <c r="BN41" s="112"/>
      <c r="BO41" s="97"/>
      <c r="BP41" s="97"/>
      <c r="BR41" s="171" t="s">
        <v>582</v>
      </c>
      <c r="BT41" s="171"/>
      <c r="BU41" s="112"/>
      <c r="BX41" s="171" t="s">
        <v>582</v>
      </c>
      <c r="BY41" s="32"/>
      <c r="BZ41" s="97"/>
      <c r="CA41" s="97"/>
      <c r="CB41" s="171"/>
      <c r="CC41" s="96"/>
      <c r="CD41" s="171" t="s">
        <v>582</v>
      </c>
      <c r="CJ41" s="171" t="s">
        <v>582</v>
      </c>
      <c r="CL41" s="97"/>
      <c r="CM41" s="97"/>
      <c r="CN41" s="96"/>
      <c r="CO41" s="97"/>
      <c r="CP41" s="171" t="s">
        <v>582</v>
      </c>
      <c r="CQ41" s="97"/>
      <c r="CR41" s="171"/>
      <c r="CS41" s="97"/>
      <c r="CT41" s="171"/>
      <c r="CU41" s="97"/>
      <c r="CV41" s="96"/>
      <c r="CW41" s="97"/>
      <c r="CX41" s="27"/>
      <c r="CY41" s="27"/>
      <c r="CZ41" s="97"/>
      <c r="DA41" s="74"/>
    </row>
    <row r="42" spans="1:105" ht="12.75">
      <c r="A42" s="171"/>
      <c r="C42" s="171" t="s">
        <v>589</v>
      </c>
      <c r="E42" s="96"/>
      <c r="I42" s="171" t="s">
        <v>589</v>
      </c>
      <c r="O42" s="171" t="s">
        <v>589</v>
      </c>
      <c r="P42" s="97"/>
      <c r="Q42" s="32"/>
      <c r="R42" s="97"/>
      <c r="S42" s="171"/>
      <c r="U42" s="32"/>
      <c r="V42" s="171" t="s">
        <v>589</v>
      </c>
      <c r="W42" s="32"/>
      <c r="X42" s="97"/>
      <c r="AA42" s="171"/>
      <c r="AB42" s="171" t="s">
        <v>589</v>
      </c>
      <c r="AD42" s="97"/>
      <c r="AE42" s="32"/>
      <c r="AF42" s="97"/>
      <c r="AG42" s="32"/>
      <c r="AH42" s="171" t="s">
        <v>589</v>
      </c>
      <c r="AJ42" s="32"/>
      <c r="AK42" s="112"/>
      <c r="AL42" s="97"/>
      <c r="AM42" s="97"/>
      <c r="AN42" s="171" t="s">
        <v>589</v>
      </c>
      <c r="AO42" s="97"/>
      <c r="AT42" s="171" t="s">
        <v>589</v>
      </c>
      <c r="AU42" s="32"/>
      <c r="AV42" s="97"/>
      <c r="AW42" s="32"/>
      <c r="AX42" s="97"/>
      <c r="AY42" s="32"/>
      <c r="AZ42" s="171" t="s">
        <v>589</v>
      </c>
      <c r="BF42" s="171" t="s">
        <v>589</v>
      </c>
      <c r="BG42" s="98"/>
      <c r="BI42" s="112"/>
      <c r="BL42" s="171" t="s">
        <v>589</v>
      </c>
      <c r="BN42" s="112"/>
      <c r="BO42" s="97"/>
      <c r="BP42" s="97"/>
      <c r="BR42" s="171" t="s">
        <v>589</v>
      </c>
      <c r="BT42" s="171"/>
      <c r="BU42" s="112"/>
      <c r="BX42" s="171" t="s">
        <v>589</v>
      </c>
      <c r="BY42" s="32"/>
      <c r="BZ42" s="97"/>
      <c r="CA42" s="97"/>
      <c r="CB42" s="171"/>
      <c r="CC42" s="96"/>
      <c r="CD42" s="171" t="s">
        <v>589</v>
      </c>
      <c r="CJ42" s="171" t="s">
        <v>589</v>
      </c>
      <c r="CL42" s="97"/>
      <c r="CM42" s="97"/>
      <c r="CN42" s="96"/>
      <c r="CO42" s="97"/>
      <c r="CP42" s="171" t="s">
        <v>589</v>
      </c>
      <c r="CQ42" s="97"/>
      <c r="CR42" s="171"/>
      <c r="CS42" s="97"/>
      <c r="CT42" s="171"/>
      <c r="CU42" s="97"/>
      <c r="CV42" s="96"/>
      <c r="CW42" s="97"/>
      <c r="CX42" s="27"/>
      <c r="CY42" s="27"/>
      <c r="CZ42" s="97"/>
      <c r="DA42" s="74"/>
    </row>
    <row r="43" spans="1:105" ht="12.75">
      <c r="A43" s="171"/>
      <c r="C43" s="171" t="s">
        <v>590</v>
      </c>
      <c r="E43" s="96"/>
      <c r="I43" s="171" t="s">
        <v>590</v>
      </c>
      <c r="O43" s="171" t="s">
        <v>590</v>
      </c>
      <c r="P43" s="97"/>
      <c r="Q43" s="32"/>
      <c r="R43" s="97"/>
      <c r="S43" s="171"/>
      <c r="U43" s="32"/>
      <c r="V43" s="171" t="s">
        <v>590</v>
      </c>
      <c r="W43" s="32"/>
      <c r="X43" s="97"/>
      <c r="AA43" s="171"/>
      <c r="AB43" s="171" t="s">
        <v>590</v>
      </c>
      <c r="AD43" s="97"/>
      <c r="AE43" s="32"/>
      <c r="AF43" s="97"/>
      <c r="AG43" s="32"/>
      <c r="AH43" s="171" t="s">
        <v>590</v>
      </c>
      <c r="AJ43" s="32"/>
      <c r="AK43" s="112"/>
      <c r="AL43" s="97"/>
      <c r="AM43" s="97"/>
      <c r="AN43" s="171" t="s">
        <v>590</v>
      </c>
      <c r="AO43" s="97"/>
      <c r="AT43" s="171" t="s">
        <v>590</v>
      </c>
      <c r="AU43" s="32"/>
      <c r="AV43" s="97"/>
      <c r="AW43" s="32"/>
      <c r="AX43" s="97"/>
      <c r="AY43" s="32"/>
      <c r="AZ43" s="171" t="s">
        <v>590</v>
      </c>
      <c r="BF43" s="171" t="s">
        <v>590</v>
      </c>
      <c r="BG43" s="98"/>
      <c r="BI43" s="112"/>
      <c r="BL43" s="171" t="s">
        <v>590</v>
      </c>
      <c r="BN43" s="112"/>
      <c r="BO43" s="97"/>
      <c r="BP43" s="97"/>
      <c r="BR43" s="171" t="s">
        <v>590</v>
      </c>
      <c r="BT43" s="171"/>
      <c r="BU43" s="112"/>
      <c r="BX43" s="171" t="s">
        <v>590</v>
      </c>
      <c r="BY43" s="32"/>
      <c r="BZ43" s="97"/>
      <c r="CA43" s="97"/>
      <c r="CB43" s="171"/>
      <c r="CC43" s="96"/>
      <c r="CD43" s="171" t="s">
        <v>590</v>
      </c>
      <c r="CJ43" s="171" t="s">
        <v>590</v>
      </c>
      <c r="CL43" s="97"/>
      <c r="CM43" s="97"/>
      <c r="CN43" s="96"/>
      <c r="CO43" s="97"/>
      <c r="CP43" s="171" t="s">
        <v>590</v>
      </c>
      <c r="CQ43" s="97"/>
      <c r="CR43" s="171"/>
      <c r="CS43" s="97"/>
      <c r="CT43" s="171"/>
      <c r="CU43" s="97"/>
      <c r="CV43" s="96"/>
      <c r="CW43" s="97"/>
      <c r="CX43" s="27"/>
      <c r="CY43" s="27"/>
      <c r="CZ43" s="97"/>
      <c r="DA43" s="74"/>
    </row>
    <row r="44" spans="1:105" ht="12.75">
      <c r="A44" s="171"/>
      <c r="C44" s="172" t="s">
        <v>591</v>
      </c>
      <c r="D44" s="172"/>
      <c r="E44" s="98"/>
      <c r="F44" s="172"/>
      <c r="G44" s="172"/>
      <c r="H44" s="172"/>
      <c r="I44" s="172" t="s">
        <v>591</v>
      </c>
      <c r="O44" s="172" t="s">
        <v>591</v>
      </c>
      <c r="P44" s="98"/>
      <c r="Q44" s="172"/>
      <c r="R44" s="98"/>
      <c r="S44" s="172"/>
      <c r="U44" s="172"/>
      <c r="V44" s="172" t="s">
        <v>591</v>
      </c>
      <c r="W44" s="172"/>
      <c r="X44" s="97"/>
      <c r="Y44" s="172"/>
      <c r="AA44" s="172"/>
      <c r="AB44" s="172" t="s">
        <v>591</v>
      </c>
      <c r="AC44" s="172"/>
      <c r="AD44" s="98"/>
      <c r="AE44" s="32"/>
      <c r="AF44" s="98"/>
      <c r="AG44" s="172"/>
      <c r="AH44" s="172" t="s">
        <v>591</v>
      </c>
      <c r="AJ44" s="172"/>
      <c r="AK44" s="112"/>
      <c r="AL44" s="98"/>
      <c r="AM44" s="98"/>
      <c r="AN44" s="172" t="s">
        <v>591</v>
      </c>
      <c r="AO44" s="98"/>
      <c r="AT44" s="172" t="s">
        <v>591</v>
      </c>
      <c r="AU44" s="172"/>
      <c r="AV44" s="98"/>
      <c r="AW44" s="172"/>
      <c r="AX44" s="97"/>
      <c r="AY44" s="172"/>
      <c r="AZ44" s="172" t="s">
        <v>591</v>
      </c>
      <c r="BA44" s="172"/>
      <c r="BD44" s="172"/>
      <c r="BF44" s="172" t="s">
        <v>591</v>
      </c>
      <c r="BG44" s="98"/>
      <c r="BH44" s="172"/>
      <c r="BI44" s="112"/>
      <c r="BL44" s="172" t="s">
        <v>591</v>
      </c>
      <c r="BM44" s="172"/>
      <c r="BN44" s="112"/>
      <c r="BO44" s="98"/>
      <c r="BP44" s="98"/>
      <c r="BR44" s="172" t="s">
        <v>591</v>
      </c>
      <c r="BT44" s="172"/>
      <c r="BU44" s="112"/>
      <c r="BX44" s="172" t="s">
        <v>591</v>
      </c>
      <c r="BY44" s="32"/>
      <c r="BZ44" s="98"/>
      <c r="CA44" s="97"/>
      <c r="CB44" s="172"/>
      <c r="CC44" s="98"/>
      <c r="CD44" s="172" t="s">
        <v>591</v>
      </c>
      <c r="CJ44" s="172" t="s">
        <v>591</v>
      </c>
      <c r="CL44" s="98"/>
      <c r="CM44" s="98"/>
      <c r="CN44" s="98"/>
      <c r="CO44" s="98"/>
      <c r="CP44" s="172" t="s">
        <v>591</v>
      </c>
      <c r="CQ44" s="98"/>
      <c r="CR44" s="172"/>
      <c r="CS44" s="98"/>
      <c r="CT44" s="172"/>
      <c r="CU44" s="98"/>
      <c r="CV44" s="98"/>
      <c r="CW44" s="98"/>
      <c r="CX44" s="27"/>
      <c r="CY44" s="27"/>
      <c r="CZ44" s="97"/>
      <c r="DA44" s="74"/>
    </row>
    <row r="45" spans="1:105" ht="12.75">
      <c r="A45" s="172"/>
      <c r="C45" s="171" t="s">
        <v>583</v>
      </c>
      <c r="E45" s="96"/>
      <c r="I45" s="171" t="s">
        <v>583</v>
      </c>
      <c r="O45" s="171" t="s">
        <v>583</v>
      </c>
      <c r="P45" s="98"/>
      <c r="Q45" s="32"/>
      <c r="R45" s="97"/>
      <c r="S45" s="171"/>
      <c r="U45" s="32"/>
      <c r="V45" s="171" t="s">
        <v>583</v>
      </c>
      <c r="W45" s="32"/>
      <c r="X45" s="97"/>
      <c r="AA45" s="172"/>
      <c r="AB45" s="171" t="s">
        <v>583</v>
      </c>
      <c r="AD45" s="98"/>
      <c r="AE45" s="32"/>
      <c r="AF45" s="97"/>
      <c r="AG45" s="32"/>
      <c r="AH45" s="171" t="s">
        <v>583</v>
      </c>
      <c r="AJ45" s="32"/>
      <c r="AK45" s="112"/>
      <c r="AL45" s="98"/>
      <c r="AM45" s="98"/>
      <c r="AN45" s="171" t="s">
        <v>583</v>
      </c>
      <c r="AO45" s="97"/>
      <c r="AT45" s="171" t="s">
        <v>583</v>
      </c>
      <c r="AU45" s="32"/>
      <c r="AV45" s="97"/>
      <c r="AW45" s="32"/>
      <c r="AX45" s="97"/>
      <c r="AY45" s="32"/>
      <c r="AZ45" s="171" t="s">
        <v>583</v>
      </c>
      <c r="BF45" s="171" t="s">
        <v>583</v>
      </c>
      <c r="BG45" s="98"/>
      <c r="BI45" s="112"/>
      <c r="BL45" s="171" t="s">
        <v>583</v>
      </c>
      <c r="BN45" s="112"/>
      <c r="BO45" s="98"/>
      <c r="BP45" s="97"/>
      <c r="BR45" s="171" t="s">
        <v>583</v>
      </c>
      <c r="BT45" s="172"/>
      <c r="BU45" s="112"/>
      <c r="BX45" s="171" t="s">
        <v>583</v>
      </c>
      <c r="BY45" s="32"/>
      <c r="BZ45" s="98"/>
      <c r="CA45" s="97"/>
      <c r="CB45" s="172"/>
      <c r="CC45" s="96"/>
      <c r="CD45" s="171" t="s">
        <v>583</v>
      </c>
      <c r="CJ45" s="171" t="s">
        <v>583</v>
      </c>
      <c r="CL45" s="98"/>
      <c r="CM45" s="98"/>
      <c r="CN45" s="96"/>
      <c r="CO45" s="97"/>
      <c r="CP45" s="171" t="s">
        <v>583</v>
      </c>
      <c r="CQ45" s="98"/>
      <c r="CR45" s="172"/>
      <c r="CS45" s="97"/>
      <c r="CT45" s="172"/>
      <c r="CU45" s="98"/>
      <c r="CV45" s="96"/>
      <c r="CW45" s="97"/>
      <c r="CX45" s="27"/>
      <c r="CY45" s="27"/>
      <c r="CZ45" s="97"/>
      <c r="DA45" s="74"/>
    </row>
    <row r="46" spans="1:105" ht="12.75">
      <c r="A46" s="171"/>
      <c r="C46" s="172" t="s">
        <v>587</v>
      </c>
      <c r="E46" s="96"/>
      <c r="I46" s="172" t="s">
        <v>587</v>
      </c>
      <c r="O46" s="172" t="s">
        <v>587</v>
      </c>
      <c r="P46" s="97"/>
      <c r="Q46" s="32"/>
      <c r="R46" s="97"/>
      <c r="S46" s="171"/>
      <c r="U46" s="32"/>
      <c r="V46" s="172" t="s">
        <v>587</v>
      </c>
      <c r="W46" s="32"/>
      <c r="X46" s="97"/>
      <c r="AA46" s="171"/>
      <c r="AB46" s="172" t="s">
        <v>587</v>
      </c>
      <c r="AD46" s="97"/>
      <c r="AE46" s="32"/>
      <c r="AF46" s="97"/>
      <c r="AG46" s="32"/>
      <c r="AH46" s="172" t="s">
        <v>587</v>
      </c>
      <c r="AJ46" s="32"/>
      <c r="AK46" s="112"/>
      <c r="AL46" s="97"/>
      <c r="AM46" s="97"/>
      <c r="AN46" s="172" t="s">
        <v>587</v>
      </c>
      <c r="AO46" s="97"/>
      <c r="AT46" s="172" t="s">
        <v>587</v>
      </c>
      <c r="AU46" s="32"/>
      <c r="AV46" s="97"/>
      <c r="AW46" s="32"/>
      <c r="AX46" s="97"/>
      <c r="AY46" s="32"/>
      <c r="AZ46" s="172" t="s">
        <v>587</v>
      </c>
      <c r="BF46" s="172" t="s">
        <v>587</v>
      </c>
      <c r="BG46" s="98"/>
      <c r="BI46" s="112"/>
      <c r="BL46" s="172" t="s">
        <v>587</v>
      </c>
      <c r="BN46" s="112"/>
      <c r="BO46" s="97"/>
      <c r="BP46" s="97"/>
      <c r="BR46" s="172" t="s">
        <v>587</v>
      </c>
      <c r="BT46" s="171"/>
      <c r="BU46" s="112"/>
      <c r="BX46" s="172" t="s">
        <v>587</v>
      </c>
      <c r="BY46" s="32"/>
      <c r="BZ46" s="97"/>
      <c r="CA46" s="97"/>
      <c r="CB46" s="171"/>
      <c r="CC46" s="96"/>
      <c r="CD46" s="172" t="s">
        <v>587</v>
      </c>
      <c r="CJ46" s="172" t="s">
        <v>587</v>
      </c>
      <c r="CL46" s="97"/>
      <c r="CM46" s="97"/>
      <c r="CN46" s="96"/>
      <c r="CO46" s="97"/>
      <c r="CP46" s="172" t="s">
        <v>587</v>
      </c>
      <c r="CQ46" s="97"/>
      <c r="CR46" s="171"/>
      <c r="CS46" s="97"/>
      <c r="CT46" s="171"/>
      <c r="CU46" s="97"/>
      <c r="CV46" s="96"/>
      <c r="CW46" s="97"/>
      <c r="CX46" s="27"/>
      <c r="CY46" s="27"/>
      <c r="CZ46" s="97"/>
      <c r="DA46" s="74"/>
    </row>
    <row r="47" spans="1:105" ht="12.75">
      <c r="A47" s="172"/>
      <c r="C47" s="171" t="s">
        <v>584</v>
      </c>
      <c r="E47" s="96"/>
      <c r="I47" s="171" t="s">
        <v>584</v>
      </c>
      <c r="O47" s="171" t="s">
        <v>584</v>
      </c>
      <c r="P47" s="97"/>
      <c r="Q47" s="32"/>
      <c r="R47" s="97"/>
      <c r="S47" s="171"/>
      <c r="U47" s="32"/>
      <c r="V47" s="171" t="s">
        <v>584</v>
      </c>
      <c r="W47" s="32"/>
      <c r="X47" s="97"/>
      <c r="AA47" s="171"/>
      <c r="AB47" s="171" t="s">
        <v>584</v>
      </c>
      <c r="AD47" s="97"/>
      <c r="AE47" s="32"/>
      <c r="AF47" s="97"/>
      <c r="AG47" s="32"/>
      <c r="AH47" s="171" t="s">
        <v>584</v>
      </c>
      <c r="AJ47" s="32"/>
      <c r="AK47" s="112"/>
      <c r="AL47" s="97"/>
      <c r="AM47" s="97"/>
      <c r="AN47" s="171" t="s">
        <v>584</v>
      </c>
      <c r="AO47" s="97"/>
      <c r="AT47" s="171" t="s">
        <v>584</v>
      </c>
      <c r="AU47" s="32"/>
      <c r="AV47" s="97"/>
      <c r="AW47" s="32"/>
      <c r="AX47" s="97"/>
      <c r="AY47" s="32"/>
      <c r="AZ47" s="171" t="s">
        <v>584</v>
      </c>
      <c r="BF47" s="171" t="s">
        <v>584</v>
      </c>
      <c r="BG47" s="98"/>
      <c r="BI47" s="112"/>
      <c r="BL47" s="171" t="s">
        <v>584</v>
      </c>
      <c r="BN47" s="112"/>
      <c r="BO47" s="97"/>
      <c r="BP47" s="97"/>
      <c r="BR47" s="171" t="s">
        <v>584</v>
      </c>
      <c r="BT47" s="171"/>
      <c r="BU47" s="112"/>
      <c r="BX47" s="171" t="s">
        <v>584</v>
      </c>
      <c r="BY47" s="32"/>
      <c r="BZ47" s="97"/>
      <c r="CA47" s="97"/>
      <c r="CB47" s="171"/>
      <c r="CC47" s="96"/>
      <c r="CD47" s="171" t="s">
        <v>584</v>
      </c>
      <c r="CJ47" s="171" t="s">
        <v>584</v>
      </c>
      <c r="CL47" s="97"/>
      <c r="CM47" s="97"/>
      <c r="CN47" s="96"/>
      <c r="CO47" s="97"/>
      <c r="CP47" s="171" t="s">
        <v>584</v>
      </c>
      <c r="CQ47" s="97"/>
      <c r="CR47" s="171"/>
      <c r="CS47" s="97"/>
      <c r="CT47" s="171"/>
      <c r="CU47" s="97"/>
      <c r="CV47" s="96"/>
      <c r="CW47" s="97"/>
      <c r="CX47" s="27"/>
      <c r="CY47" s="27"/>
      <c r="CZ47" s="97"/>
      <c r="DA47" s="74"/>
    </row>
    <row r="48" spans="1:104" ht="12.75">
      <c r="A48" s="171"/>
      <c r="B48" s="72"/>
      <c r="C48" s="171" t="s">
        <v>588</v>
      </c>
      <c r="E48" s="96"/>
      <c r="I48" s="171" t="s">
        <v>588</v>
      </c>
      <c r="O48" s="171" t="s">
        <v>588</v>
      </c>
      <c r="P48" s="97"/>
      <c r="Q48" s="32"/>
      <c r="R48" s="97"/>
      <c r="S48" s="171"/>
      <c r="U48" s="32"/>
      <c r="V48" s="171" t="s">
        <v>588</v>
      </c>
      <c r="W48" s="32"/>
      <c r="X48" s="97"/>
      <c r="AA48" s="171"/>
      <c r="AB48" s="171" t="s">
        <v>588</v>
      </c>
      <c r="AD48" s="97"/>
      <c r="AE48" s="32"/>
      <c r="AF48" s="97"/>
      <c r="AG48" s="32"/>
      <c r="AH48" s="171" t="s">
        <v>588</v>
      </c>
      <c r="AJ48" s="32"/>
      <c r="AK48" s="112"/>
      <c r="AL48" s="97"/>
      <c r="AM48" s="97"/>
      <c r="AN48" s="171" t="s">
        <v>588</v>
      </c>
      <c r="AO48" s="97"/>
      <c r="AT48" s="171" t="s">
        <v>588</v>
      </c>
      <c r="AU48" s="32"/>
      <c r="AV48" s="97"/>
      <c r="AW48" s="32"/>
      <c r="AX48" s="97"/>
      <c r="AY48" s="32"/>
      <c r="AZ48" s="171" t="s">
        <v>588</v>
      </c>
      <c r="BF48" s="171" t="s">
        <v>588</v>
      </c>
      <c r="BG48" s="98"/>
      <c r="BI48" s="112"/>
      <c r="BL48" s="171" t="s">
        <v>588</v>
      </c>
      <c r="BN48" s="112"/>
      <c r="BO48" s="97"/>
      <c r="BP48" s="97"/>
      <c r="BR48" s="171" t="s">
        <v>588</v>
      </c>
      <c r="BT48" s="171"/>
      <c r="BU48" s="112"/>
      <c r="BX48" s="171" t="s">
        <v>588</v>
      </c>
      <c r="BY48" s="32"/>
      <c r="BZ48" s="97"/>
      <c r="CA48" s="97"/>
      <c r="CB48" s="171"/>
      <c r="CC48" s="96"/>
      <c r="CD48" s="171" t="s">
        <v>588</v>
      </c>
      <c r="CJ48" s="171" t="s">
        <v>588</v>
      </c>
      <c r="CL48" s="97"/>
      <c r="CM48" s="97"/>
      <c r="CN48" s="96"/>
      <c r="CO48" s="97"/>
      <c r="CP48" s="171" t="s">
        <v>588</v>
      </c>
      <c r="CQ48" s="97"/>
      <c r="CR48" s="171"/>
      <c r="CS48" s="97"/>
      <c r="CT48" s="171"/>
      <c r="CU48" s="97"/>
      <c r="CV48" s="96"/>
      <c r="CW48" s="97"/>
      <c r="CX48" s="27"/>
      <c r="CY48" s="27"/>
      <c r="CZ48" s="97"/>
    </row>
    <row r="49" spans="1:104" ht="12.75">
      <c r="A49" s="171"/>
      <c r="B49" s="72"/>
      <c r="C49" s="171" t="s">
        <v>585</v>
      </c>
      <c r="E49" s="96"/>
      <c r="I49" s="171" t="s">
        <v>585</v>
      </c>
      <c r="O49" s="171" t="s">
        <v>585</v>
      </c>
      <c r="P49" s="97" t="s">
        <v>331</v>
      </c>
      <c r="Q49" s="32"/>
      <c r="R49" s="97"/>
      <c r="S49" s="171"/>
      <c r="U49" s="32"/>
      <c r="V49" s="171" t="s">
        <v>585</v>
      </c>
      <c r="W49" s="32"/>
      <c r="X49" s="97"/>
      <c r="AA49" s="171"/>
      <c r="AB49" s="171" t="s">
        <v>585</v>
      </c>
      <c r="AD49" s="97"/>
      <c r="AE49" s="32"/>
      <c r="AF49" s="97"/>
      <c r="AG49" s="32"/>
      <c r="AH49" s="171" t="s">
        <v>585</v>
      </c>
      <c r="AJ49" s="32"/>
      <c r="AK49" s="112"/>
      <c r="AL49" s="97"/>
      <c r="AM49" s="97"/>
      <c r="AN49" s="171" t="s">
        <v>585</v>
      </c>
      <c r="AO49" s="97"/>
      <c r="AT49" s="171" t="s">
        <v>585</v>
      </c>
      <c r="AU49" s="32"/>
      <c r="AV49" s="97"/>
      <c r="AW49" s="32"/>
      <c r="AX49" s="97"/>
      <c r="AY49" s="32"/>
      <c r="AZ49" s="171" t="s">
        <v>585</v>
      </c>
      <c r="BF49" s="171" t="s">
        <v>585</v>
      </c>
      <c r="BG49" s="98"/>
      <c r="BI49" s="112"/>
      <c r="BL49" s="171" t="s">
        <v>585</v>
      </c>
      <c r="BN49" s="112"/>
      <c r="BO49" s="97"/>
      <c r="BP49" s="97"/>
      <c r="BR49" s="171" t="s">
        <v>585</v>
      </c>
      <c r="BT49" s="171"/>
      <c r="BU49" s="112"/>
      <c r="BX49" s="171" t="s">
        <v>585</v>
      </c>
      <c r="BY49" s="32"/>
      <c r="BZ49" s="97"/>
      <c r="CA49" s="97"/>
      <c r="CB49" s="171"/>
      <c r="CC49" s="96"/>
      <c r="CD49" s="171" t="s">
        <v>585</v>
      </c>
      <c r="CJ49" s="171" t="s">
        <v>585</v>
      </c>
      <c r="CL49" s="97"/>
      <c r="CM49" s="97"/>
      <c r="CN49" s="96"/>
      <c r="CO49" s="97"/>
      <c r="CP49" s="171" t="s">
        <v>585</v>
      </c>
      <c r="CQ49" s="97"/>
      <c r="CR49" s="171"/>
      <c r="CS49" s="97"/>
      <c r="CT49" s="171"/>
      <c r="CU49" s="97"/>
      <c r="CV49" s="96"/>
      <c r="CW49" s="97"/>
      <c r="CX49" s="27"/>
      <c r="CY49" s="27"/>
      <c r="CZ49" s="97"/>
    </row>
    <row r="50" spans="1:103" ht="12.75">
      <c r="A50" s="171"/>
      <c r="B50" s="72"/>
      <c r="D50" s="171"/>
      <c r="E50" s="74"/>
      <c r="F50" s="171"/>
      <c r="G50" s="171"/>
      <c r="H50" s="171"/>
      <c r="I50" s="171"/>
      <c r="J50" s="171"/>
      <c r="K50" s="74"/>
      <c r="L50" s="171"/>
      <c r="M50" s="74"/>
      <c r="N50" s="171"/>
      <c r="O50" s="171"/>
      <c r="P50" s="171"/>
      <c r="Q50" s="74"/>
      <c r="R50" s="171"/>
      <c r="S50" s="74"/>
      <c r="T50" s="171"/>
      <c r="U50" s="74"/>
      <c r="V50" s="171"/>
      <c r="CX50" s="27"/>
      <c r="CY50" s="27"/>
    </row>
    <row r="51" spans="1:103" ht="12.75">
      <c r="A51" s="30"/>
      <c r="B51" s="30"/>
      <c r="C51" s="27"/>
      <c r="D51" s="173"/>
      <c r="E51" s="27"/>
      <c r="F51" s="173"/>
      <c r="G51" s="173"/>
      <c r="H51" s="173"/>
      <c r="I51" s="173"/>
      <c r="J51" s="173"/>
      <c r="K51" s="27"/>
      <c r="L51" s="173"/>
      <c r="M51" s="27"/>
      <c r="N51" s="173"/>
      <c r="O51" s="173"/>
      <c r="P51" s="173"/>
      <c r="Q51" s="27"/>
      <c r="R51" s="173"/>
      <c r="S51" s="27"/>
      <c r="T51" s="173"/>
      <c r="U51" s="27"/>
      <c r="V51" s="173"/>
      <c r="CX51" s="27"/>
      <c r="CY51" s="27"/>
    </row>
    <row r="52" spans="1:103" ht="15.75">
      <c r="A52" s="30"/>
      <c r="B52" s="30"/>
      <c r="C52" s="188"/>
      <c r="D52" s="173"/>
      <c r="E52" s="27"/>
      <c r="F52" s="173"/>
      <c r="G52" s="173"/>
      <c r="H52" s="173"/>
      <c r="I52" s="173"/>
      <c r="J52" s="173"/>
      <c r="K52" s="27"/>
      <c r="L52" s="173"/>
      <c r="M52" s="27"/>
      <c r="N52" s="173"/>
      <c r="O52" s="173"/>
      <c r="P52" s="173"/>
      <c r="Q52" s="27"/>
      <c r="R52" s="173"/>
      <c r="S52" s="27"/>
      <c r="T52" s="173"/>
      <c r="U52" s="27"/>
      <c r="V52" s="173"/>
      <c r="CX52" s="27"/>
      <c r="CY52" s="27"/>
    </row>
    <row r="53" spans="1:105" ht="12.75">
      <c r="A53" s="91" t="s">
        <v>307</v>
      </c>
      <c r="C53" s="10"/>
      <c r="D53" s="170"/>
      <c r="E53" s="10"/>
      <c r="F53" s="170"/>
      <c r="G53" s="170"/>
      <c r="H53" s="170"/>
      <c r="I53" s="170"/>
      <c r="J53" s="170"/>
      <c r="K53" s="10"/>
      <c r="L53" s="170"/>
      <c r="M53" s="10"/>
      <c r="N53" s="170"/>
      <c r="O53" s="170"/>
      <c r="P53" s="170"/>
      <c r="Q53" s="10"/>
      <c r="R53" s="170"/>
      <c r="S53" s="10"/>
      <c r="T53" s="170"/>
      <c r="U53" s="10"/>
      <c r="V53" s="170"/>
      <c r="W53" s="10"/>
      <c r="X53" s="170"/>
      <c r="Y53" s="170"/>
      <c r="Z53" s="10"/>
      <c r="AA53" s="170"/>
      <c r="AB53" s="10"/>
      <c r="AC53" s="170"/>
      <c r="AD53" s="10"/>
      <c r="AE53" s="10"/>
      <c r="AF53" s="170"/>
      <c r="AG53" s="10"/>
      <c r="AH53" s="10"/>
      <c r="AI53" s="10"/>
      <c r="AJ53" s="10"/>
      <c r="AK53" s="170"/>
      <c r="AL53" s="10"/>
      <c r="AM53" s="170"/>
      <c r="AN53" s="10"/>
      <c r="AO53" s="170"/>
      <c r="AP53" s="10"/>
      <c r="AQ53" s="170"/>
      <c r="AR53" s="10"/>
      <c r="AS53" s="10"/>
      <c r="AT53" s="170"/>
      <c r="AU53" s="10"/>
      <c r="AV53" s="170"/>
      <c r="AW53" s="10"/>
      <c r="AX53" s="170"/>
      <c r="AY53" s="10"/>
      <c r="AZ53" s="10"/>
      <c r="BA53" s="170"/>
      <c r="BB53" s="10"/>
      <c r="BC53" s="10"/>
      <c r="BD53" s="170"/>
      <c r="BE53" s="10"/>
      <c r="BF53" s="170"/>
      <c r="BG53" s="10"/>
      <c r="BH53" s="170"/>
      <c r="BI53" s="122"/>
      <c r="BJ53" s="170"/>
      <c r="BK53" s="10"/>
      <c r="BL53" s="10"/>
      <c r="BM53" s="170"/>
      <c r="BN53" s="170"/>
      <c r="BO53" s="10"/>
      <c r="BP53" s="10"/>
      <c r="BQ53" s="10"/>
      <c r="BR53" s="10"/>
      <c r="BS53" s="10"/>
      <c r="BT53" s="170"/>
      <c r="BU53" s="170"/>
      <c r="BV53" s="170"/>
      <c r="BW53" s="10"/>
      <c r="BX53" s="10"/>
      <c r="BY53" s="10"/>
      <c r="BZ53" s="170"/>
      <c r="CA53" s="10"/>
      <c r="CB53" s="170"/>
      <c r="CC53" s="170"/>
      <c r="CD53" s="10"/>
      <c r="CE53" s="10"/>
      <c r="CF53" s="17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70"/>
      <c r="CS53" s="10"/>
      <c r="CT53" s="10"/>
      <c r="CV53" s="10"/>
      <c r="CW53" s="10"/>
      <c r="CX53" s="27"/>
      <c r="CY53" s="27"/>
      <c r="CZ53" s="10"/>
      <c r="DA53" s="10"/>
    </row>
    <row r="54" spans="3:105" ht="12.75">
      <c r="C54" s="10"/>
      <c r="D54" s="170"/>
      <c r="E54" s="10"/>
      <c r="F54" s="170"/>
      <c r="G54" s="170"/>
      <c r="H54" s="170"/>
      <c r="I54" s="170"/>
      <c r="J54" s="170"/>
      <c r="K54" s="10"/>
      <c r="L54" s="170"/>
      <c r="M54" s="10"/>
      <c r="N54" s="170"/>
      <c r="O54" s="170"/>
      <c r="P54" s="170"/>
      <c r="Q54" s="10"/>
      <c r="R54" s="170"/>
      <c r="S54" s="10"/>
      <c r="T54" s="170"/>
      <c r="U54" s="10"/>
      <c r="V54" s="170"/>
      <c r="W54" s="10"/>
      <c r="X54" s="170"/>
      <c r="Y54" s="170"/>
      <c r="Z54" s="10"/>
      <c r="AA54" s="170"/>
      <c r="AB54" s="10"/>
      <c r="AC54" s="170"/>
      <c r="AD54" s="10"/>
      <c r="AE54" s="10"/>
      <c r="AF54" s="170"/>
      <c r="AG54" s="10"/>
      <c r="AH54" s="10"/>
      <c r="AI54" s="10"/>
      <c r="AJ54" s="10"/>
      <c r="AK54" s="170"/>
      <c r="AL54" s="10"/>
      <c r="AM54" s="170"/>
      <c r="AN54" s="10"/>
      <c r="AO54" s="170"/>
      <c r="AP54" s="10"/>
      <c r="AQ54" s="170"/>
      <c r="AR54" s="10"/>
      <c r="AS54" s="10"/>
      <c r="AT54" s="170"/>
      <c r="AU54" s="10"/>
      <c r="AV54" s="170"/>
      <c r="AW54" s="10"/>
      <c r="AX54" s="170"/>
      <c r="AY54" s="10"/>
      <c r="AZ54" s="10"/>
      <c r="BA54" s="170"/>
      <c r="BB54" s="10"/>
      <c r="BC54" s="10"/>
      <c r="BD54" s="170"/>
      <c r="BE54" s="10"/>
      <c r="BF54" s="170"/>
      <c r="BG54" s="10"/>
      <c r="BH54" s="170"/>
      <c r="BI54" s="122"/>
      <c r="BJ54" s="170"/>
      <c r="BK54" s="10"/>
      <c r="BL54" s="10"/>
      <c r="BM54" s="170"/>
      <c r="BN54" s="170"/>
      <c r="BO54" s="10"/>
      <c r="BP54" s="10"/>
      <c r="BQ54" s="10"/>
      <c r="BR54" s="10"/>
      <c r="BS54" s="10"/>
      <c r="BT54" s="170"/>
      <c r="BU54" s="170"/>
      <c r="BV54" s="170"/>
      <c r="BW54" s="10"/>
      <c r="BX54" s="10"/>
      <c r="BY54" s="10"/>
      <c r="BZ54" s="170"/>
      <c r="CA54" s="10"/>
      <c r="CB54" s="170"/>
      <c r="CC54" s="170"/>
      <c r="CD54" s="10"/>
      <c r="CE54" s="10"/>
      <c r="CF54" s="17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70"/>
      <c r="CS54" s="10"/>
      <c r="CT54" s="10"/>
      <c r="CV54" s="10"/>
      <c r="CW54" s="10"/>
      <c r="CX54" s="27"/>
      <c r="CY54" s="27"/>
      <c r="CZ54" s="10"/>
      <c r="DA54" s="10"/>
    </row>
    <row r="55" spans="1:105" ht="12.75">
      <c r="A55" s="290"/>
      <c r="B55" s="290"/>
      <c r="C55" s="277"/>
      <c r="D55" s="174"/>
      <c r="E55" s="277"/>
      <c r="F55" s="174"/>
      <c r="G55" s="174"/>
      <c r="H55" s="174"/>
      <c r="I55" s="174"/>
      <c r="J55" s="174"/>
      <c r="K55" s="277"/>
      <c r="L55" s="174"/>
      <c r="M55" s="277"/>
      <c r="N55" s="174"/>
      <c r="O55" s="174"/>
      <c r="P55" s="174"/>
      <c r="Q55" s="277"/>
      <c r="R55" s="174"/>
      <c r="S55" s="277"/>
      <c r="T55" s="174"/>
      <c r="U55" s="277"/>
      <c r="V55" s="174"/>
      <c r="W55" s="277"/>
      <c r="X55" s="174"/>
      <c r="Y55" s="174"/>
      <c r="Z55" s="277"/>
      <c r="AA55" s="174"/>
      <c r="AB55" s="277"/>
      <c r="AC55" s="174"/>
      <c r="AD55" s="277"/>
      <c r="AE55" s="277"/>
      <c r="AF55" s="174"/>
      <c r="AG55" s="277"/>
      <c r="AH55" s="277"/>
      <c r="AI55" s="277"/>
      <c r="AJ55" s="277"/>
      <c r="AK55" s="174"/>
      <c r="AL55" s="277"/>
      <c r="AM55" s="174"/>
      <c r="AN55" s="277"/>
      <c r="AO55" s="174"/>
      <c r="AP55" s="277"/>
      <c r="AQ55" s="174"/>
      <c r="AR55" s="277"/>
      <c r="AS55" s="277"/>
      <c r="AT55" s="174"/>
      <c r="AU55" s="277"/>
      <c r="AV55" s="174"/>
      <c r="AW55" s="277"/>
      <c r="AX55" s="174"/>
      <c r="AY55" s="277"/>
      <c r="AZ55" s="277"/>
      <c r="BA55" s="174"/>
      <c r="BB55" s="277"/>
      <c r="BC55" s="277"/>
      <c r="BD55" s="174"/>
      <c r="BE55" s="277"/>
      <c r="BF55" s="174"/>
      <c r="BG55" s="277"/>
      <c r="BH55" s="174"/>
      <c r="BI55" s="298"/>
      <c r="BJ55" s="174"/>
      <c r="BK55" s="277"/>
      <c r="BL55" s="277"/>
      <c r="BM55" s="174"/>
      <c r="BN55" s="174"/>
      <c r="BO55" s="277"/>
      <c r="BP55" s="277"/>
      <c r="BQ55" s="277"/>
      <c r="BR55" s="277"/>
      <c r="BS55" s="277"/>
      <c r="BT55" s="174"/>
      <c r="BU55" s="174"/>
      <c r="BV55" s="174"/>
      <c r="BW55" s="277"/>
      <c r="BX55" s="277"/>
      <c r="BY55" s="277"/>
      <c r="BZ55" s="174"/>
      <c r="CA55" s="277"/>
      <c r="CB55" s="174"/>
      <c r="CC55" s="174"/>
      <c r="CD55" s="277"/>
      <c r="CE55" s="277"/>
      <c r="CF55" s="174"/>
      <c r="CG55" s="277"/>
      <c r="CH55" s="277"/>
      <c r="CI55" s="277"/>
      <c r="CJ55" s="277"/>
      <c r="CK55" s="277"/>
      <c r="CL55" s="277"/>
      <c r="CM55" s="277"/>
      <c r="CN55" s="277"/>
      <c r="CO55" s="277"/>
      <c r="CP55" s="277"/>
      <c r="CQ55" s="277"/>
      <c r="CR55" s="174"/>
      <c r="CS55" s="277"/>
      <c r="CT55" s="277"/>
      <c r="CV55" s="277"/>
      <c r="CW55" s="277"/>
      <c r="CX55" s="27"/>
      <c r="CY55" s="27"/>
      <c r="CZ55" s="277"/>
      <c r="DA55" s="277"/>
    </row>
    <row r="56" spans="1:132" ht="12.75">
      <c r="A56" s="26" t="s">
        <v>139</v>
      </c>
      <c r="B56" s="290"/>
      <c r="C56" s="241">
        <f>'[1]3.2 Yfirlit'!B14</f>
        <v>1565375.674</v>
      </c>
      <c r="D56" s="244"/>
      <c r="E56" s="241">
        <f>'[1]3.2 Yfirlit'!D14</f>
        <v>6333288</v>
      </c>
      <c r="F56" s="244"/>
      <c r="G56" s="244"/>
      <c r="H56" s="244"/>
      <c r="I56" s="244"/>
      <c r="J56" s="244"/>
      <c r="K56" s="241">
        <f>'[1]3.2 Yfirlit'!J14</f>
        <v>1538153.711</v>
      </c>
      <c r="L56" s="244"/>
      <c r="M56" s="241">
        <f>'[1]3.2 Yfirlit'!L14</f>
        <v>1045256.905</v>
      </c>
      <c r="N56" s="244"/>
      <c r="O56" s="244"/>
      <c r="P56" s="244"/>
      <c r="Q56" s="241">
        <f>'[1]3.2 Yfirlit'!P14</f>
        <v>869050.99</v>
      </c>
      <c r="R56" s="244"/>
      <c r="S56" s="241">
        <f>'[1]3.2 Yfirlit'!R14</f>
        <v>505582.872</v>
      </c>
      <c r="T56" s="244"/>
      <c r="U56" s="241">
        <f>'[1]3.2 Yfirlit'!T14</f>
        <v>170399.449</v>
      </c>
      <c r="V56" s="244"/>
      <c r="W56" s="241">
        <f>'[1]3.2 Yfirlit'!V14</f>
        <v>449000.636</v>
      </c>
      <c r="X56" s="244"/>
      <c r="Y56" s="244"/>
      <c r="Z56" s="241">
        <f>'[1]3.2 Yfirlit'!Y14</f>
        <v>149276.684</v>
      </c>
      <c r="AA56" s="244"/>
      <c r="AB56" s="241">
        <f>'[1]3.2 Yfirlit'!AA14</f>
        <v>642564.226</v>
      </c>
      <c r="AC56" s="244"/>
      <c r="AD56" s="241">
        <f>'[1]3.2 Yfirlit'!AC14</f>
        <v>276405.211</v>
      </c>
      <c r="AE56" s="241">
        <f>'[1]3.2 Yfirlit'!AD14</f>
        <v>255616.533</v>
      </c>
      <c r="AF56" s="244"/>
      <c r="AG56" s="241">
        <f>'[1]3.2 Yfirlit'!AF14</f>
        <v>171016</v>
      </c>
      <c r="AH56" s="241">
        <f>'[1]3.2 Yfirlit'!AG14</f>
        <v>546006.781</v>
      </c>
      <c r="AI56" s="241">
        <f>'[1]3.2 Yfirlit'!AH14</f>
        <v>367166.954</v>
      </c>
      <c r="AJ56" s="241">
        <f>'[1]3.2 Yfirlit'!AI14</f>
        <v>115132.605</v>
      </c>
      <c r="AK56" s="244"/>
      <c r="AL56" s="241">
        <f>'[1]3.2 Yfirlit'!AK14</f>
        <v>220656.702</v>
      </c>
      <c r="AM56" s="244"/>
      <c r="AN56" s="241">
        <f>'[1]3.2 Yfirlit'!AM14</f>
        <v>87993.002</v>
      </c>
      <c r="AO56" s="244"/>
      <c r="AP56" s="241">
        <f>'[1]3.2 Yfirlit'!AO14</f>
        <v>69320.025</v>
      </c>
      <c r="AQ56" s="244"/>
      <c r="AR56" s="241">
        <f>'[1]3.2 Yfirlit'!AQ14</f>
        <v>426240.619</v>
      </c>
      <c r="AS56" s="241">
        <f>'[1]3.2 Yfirlit'!AR14</f>
        <v>229315.616</v>
      </c>
      <c r="AT56" s="244"/>
      <c r="AU56" s="241">
        <f>'[1]3.2 Yfirlit'!AT14</f>
        <v>203728.866</v>
      </c>
      <c r="AV56" s="244"/>
      <c r="AW56" s="241">
        <f>'[1]3.2 Yfirlit'!AV14</f>
        <v>79447</v>
      </c>
      <c r="AX56" s="244"/>
      <c r="AY56" s="241">
        <f>'[1]3.2 Yfirlit'!AX14</f>
        <v>177790.261</v>
      </c>
      <c r="AZ56" s="241">
        <f>'[1]3.2 Yfirlit'!AY14</f>
        <v>32331.065</v>
      </c>
      <c r="BA56" s="244"/>
      <c r="BB56" s="241">
        <f>'[1]3.2 Yfirlit'!BA14</f>
        <v>119670.893</v>
      </c>
      <c r="BC56" s="241">
        <f>'[1]3.2 Yfirlit'!BB14</f>
        <v>59757.555</v>
      </c>
      <c r="BD56" s="244"/>
      <c r="BE56" s="241">
        <f>'[1]3.2 Yfirlit'!BD14</f>
        <v>129304.098</v>
      </c>
      <c r="BF56" s="244"/>
      <c r="BG56" s="241">
        <f>'[1]3.2 Yfirlit'!BF14</f>
        <v>64679.245</v>
      </c>
      <c r="BH56" s="244"/>
      <c r="BI56" s="241">
        <f>'[1]3.2 Yfirlit'!BH14</f>
        <v>118597.584</v>
      </c>
      <c r="BJ56" s="244"/>
      <c r="BK56" s="241">
        <f>'[1]3.2 Yfirlit'!BJ14</f>
        <v>924733.296</v>
      </c>
      <c r="BL56" s="241">
        <f>'[1]3.2 Yfirlit'!BK14</f>
        <v>131250.502</v>
      </c>
      <c r="BM56" s="244"/>
      <c r="BN56" s="244"/>
      <c r="BO56" s="241">
        <f>'[1]3.2 Yfirlit'!BN14</f>
        <v>52424.349</v>
      </c>
      <c r="BP56" s="241">
        <f>'[1]3.2 Yfirlit'!BO14</f>
        <v>75781.211</v>
      </c>
      <c r="BQ56" s="241">
        <f>'[1]3.2 Yfirlit'!BP14</f>
        <v>35737.152</v>
      </c>
      <c r="BR56" s="241">
        <f>'[1]3.2 Yfirlit'!BQ14</f>
        <v>36689.796</v>
      </c>
      <c r="BS56" s="241">
        <f>'[1]3.2 Yfirlit'!BR14</f>
        <v>354.959</v>
      </c>
      <c r="BT56" s="244"/>
      <c r="BU56" s="244"/>
      <c r="BV56" s="244"/>
      <c r="BW56" s="241">
        <f>'[1]3.2 Yfirlit'!BV14</f>
        <v>26237.056</v>
      </c>
      <c r="BX56" s="241">
        <f>'[1]3.2 Yfirlit'!BW14</f>
        <v>53452.387</v>
      </c>
      <c r="BY56" s="241">
        <f>'[1]3.2 Yfirlit'!BX14</f>
        <v>9230.738</v>
      </c>
      <c r="BZ56" s="244"/>
      <c r="CA56" s="241">
        <f>'[1]3.2 Yfirlit'!BZ14</f>
        <v>74457.034</v>
      </c>
      <c r="CB56" s="241">
        <f>'[1]3.2 Yfirlit'!CA14</f>
        <v>0</v>
      </c>
      <c r="CC56" s="241"/>
      <c r="CD56" s="241">
        <f>'[1]3.2 Yfirlit'!CC14</f>
        <v>64317.455</v>
      </c>
      <c r="CE56" s="241">
        <f>'[1]3.2 Yfirlit'!CD14</f>
        <v>13434.936</v>
      </c>
      <c r="CF56" s="244"/>
      <c r="CG56" s="241">
        <f>'[1]3.2 Yfirlit'!CF14</f>
        <v>103017.043</v>
      </c>
      <c r="CH56" s="241">
        <f>'[1]3.2 Yfirlit'!CG14</f>
        <v>60197.874</v>
      </c>
      <c r="CI56" s="241">
        <f>'[1]3.2 Yfirlit'!CH14</f>
        <v>42158.69</v>
      </c>
      <c r="CJ56" s="241">
        <f>'[1]3.2 Yfirlit'!CI14</f>
        <v>33354.266</v>
      </c>
      <c r="CK56" s="241">
        <f>'[1]3.2 Yfirlit'!CJ14</f>
        <v>40842.882</v>
      </c>
      <c r="CL56" s="241">
        <f>'[1]3.2 Yfirlit'!CK14</f>
        <v>36249.22</v>
      </c>
      <c r="CM56" s="241">
        <f>'[1]3.2 Yfirlit'!CL14</f>
        <v>33545.639</v>
      </c>
      <c r="CN56" s="241">
        <f>'[1]3.2 Yfirlit'!CM14</f>
        <v>22800.509</v>
      </c>
      <c r="CO56" s="241">
        <f>'[1]3.2 Yfirlit'!CN14</f>
        <v>18239.54</v>
      </c>
      <c r="CP56" s="241">
        <f>'[1]3.2 Yfirlit'!CO14</f>
        <v>116567.437</v>
      </c>
      <c r="CQ56" s="241">
        <f>'[1]3.2 Yfirlit'!CP14</f>
        <v>0</v>
      </c>
      <c r="CR56" s="244"/>
      <c r="CS56" s="241">
        <f>'[1]3.2 Yfirlit'!CR14</f>
        <v>40899.864</v>
      </c>
      <c r="CT56" s="241">
        <f>'[1]3.2 Yfirlit'!CS14</f>
        <v>1414.696</v>
      </c>
      <c r="CU56" s="241"/>
      <c r="CV56" s="241">
        <f>+'[1]3.2 Yfirlit'!CV14</f>
        <v>19065514.292999994</v>
      </c>
      <c r="CW56" s="241" t="e">
        <f>+'[1]3.2 Yfirlit'!CW14</f>
        <v>#REF!</v>
      </c>
      <c r="CX56" s="241">
        <f>+'[1]3.2 Yfirlit'!CX14</f>
        <v>8267515.793</v>
      </c>
      <c r="CY56" s="241">
        <f>+'[1]3.2 Yfirlit'!CY14</f>
        <v>10797998.500000002</v>
      </c>
      <c r="CZ56" s="241"/>
      <c r="DA56" s="241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</row>
    <row r="57" spans="1:132" ht="12.75">
      <c r="A57" s="290"/>
      <c r="B57" s="290"/>
      <c r="C57" s="241"/>
      <c r="D57" s="175"/>
      <c r="E57" s="241"/>
      <c r="F57" s="175"/>
      <c r="G57" s="175"/>
      <c r="H57" s="175"/>
      <c r="I57" s="175"/>
      <c r="J57" s="175"/>
      <c r="K57" s="298"/>
      <c r="L57" s="175"/>
      <c r="M57" s="298"/>
      <c r="N57" s="175"/>
      <c r="O57" s="175"/>
      <c r="P57" s="175"/>
      <c r="Q57" s="298"/>
      <c r="R57" s="175"/>
      <c r="S57" s="298"/>
      <c r="T57" s="175"/>
      <c r="U57" s="298"/>
      <c r="V57" s="175"/>
      <c r="W57" s="298"/>
      <c r="X57" s="175"/>
      <c r="Y57" s="175"/>
      <c r="Z57" s="298"/>
      <c r="AA57" s="175"/>
      <c r="AB57" s="298"/>
      <c r="AC57" s="175"/>
      <c r="AD57" s="298"/>
      <c r="AE57" s="298"/>
      <c r="AF57" s="175"/>
      <c r="AG57" s="298"/>
      <c r="AH57" s="298"/>
      <c r="AI57" s="298"/>
      <c r="AJ57" s="298"/>
      <c r="AK57" s="175"/>
      <c r="AL57" s="298"/>
      <c r="AM57" s="175"/>
      <c r="AN57" s="298"/>
      <c r="AO57" s="175"/>
      <c r="AP57" s="298"/>
      <c r="AQ57" s="175"/>
      <c r="AR57" s="298"/>
      <c r="AS57" s="298"/>
      <c r="AT57" s="175"/>
      <c r="AU57" s="298"/>
      <c r="AV57" s="175"/>
      <c r="AW57" s="298"/>
      <c r="AX57" s="175"/>
      <c r="AY57" s="298"/>
      <c r="AZ57" s="298"/>
      <c r="BA57" s="175"/>
      <c r="BB57" s="298"/>
      <c r="BC57" s="298"/>
      <c r="BD57" s="175"/>
      <c r="BE57" s="298"/>
      <c r="BF57" s="175"/>
      <c r="BG57" s="298"/>
      <c r="BH57" s="175"/>
      <c r="BI57" s="298"/>
      <c r="BJ57" s="175"/>
      <c r="BK57" s="298"/>
      <c r="BL57" s="298"/>
      <c r="BM57" s="175"/>
      <c r="BN57" s="175"/>
      <c r="BO57" s="298"/>
      <c r="BP57" s="298"/>
      <c r="BQ57" s="298"/>
      <c r="BR57" s="298"/>
      <c r="BS57" s="298"/>
      <c r="BT57" s="175"/>
      <c r="BU57" s="175"/>
      <c r="BV57" s="175"/>
      <c r="BW57" s="298"/>
      <c r="BX57" s="298"/>
      <c r="BY57" s="298"/>
      <c r="BZ57" s="175"/>
      <c r="CA57" s="175"/>
      <c r="CB57" s="175"/>
      <c r="CC57" s="175"/>
      <c r="CD57" s="298"/>
      <c r="CE57" s="298"/>
      <c r="CF57" s="175"/>
      <c r="CG57" s="298"/>
      <c r="CH57" s="298"/>
      <c r="CI57" s="298"/>
      <c r="CJ57" s="298"/>
      <c r="CK57" s="298"/>
      <c r="CL57" s="298"/>
      <c r="CM57" s="298"/>
      <c r="CN57" s="298"/>
      <c r="CO57" s="298"/>
      <c r="CP57" s="298"/>
      <c r="CQ57" s="298"/>
      <c r="CR57" s="175"/>
      <c r="CS57" s="298"/>
      <c r="CT57" s="298"/>
      <c r="CV57" s="241"/>
      <c r="CW57" s="241"/>
      <c r="CX57" s="27">
        <f aca="true" t="shared" si="13" ref="CX57:CX63">+(E57+AR57+BK57+BO57+BS57+BX57+CA57+CG57+CH57+CN57+CO57+CP57+CS57+CK57)</f>
        <v>0</v>
      </c>
      <c r="CY57" s="27">
        <f>+(C57+K57+M57+Q57+S57+U57+W57+Z57+AB57+AD57+AE57+AG57+AH57+AI57+AJ57+AL57+AN57+AP57+AS57+AU57+AW57+AY57+AZ57+BB57+BC57+BE57+BG57+BI57+BL57+BP57+BQ57+BR57+BW57+BY57+CD57+CE57+CI57+CJ57+CL57+CM57+CQ57+CT57)/42</f>
        <v>0</v>
      </c>
      <c r="CZ57" s="241"/>
      <c r="DA57" s="298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</row>
    <row r="58" spans="1:132" ht="12.75">
      <c r="A58" s="168" t="s">
        <v>140</v>
      </c>
      <c r="B58" s="290"/>
      <c r="C58" s="241">
        <f>C56*(C20/100)</f>
        <v>978359.7962500001</v>
      </c>
      <c r="D58" s="244"/>
      <c r="E58" s="241">
        <f>E56*(E20/100)</f>
        <v>4591633.8</v>
      </c>
      <c r="F58" s="244"/>
      <c r="G58" s="244"/>
      <c r="H58" s="244"/>
      <c r="I58" s="244"/>
      <c r="J58" s="244"/>
      <c r="K58" s="241">
        <f>K56*(K20/100)</f>
        <v>938273.76371</v>
      </c>
      <c r="L58" s="244"/>
      <c r="M58" s="241">
        <f>M56*(M20/100)</f>
        <v>656421.33634</v>
      </c>
      <c r="N58" s="244"/>
      <c r="O58" s="244"/>
      <c r="P58" s="244"/>
      <c r="Q58" s="241">
        <f>Q56*(Q20/100)</f>
        <v>365001.41579999996</v>
      </c>
      <c r="R58" s="244"/>
      <c r="S58" s="241">
        <f>S56*(S20/100)</f>
        <v>276553.830984</v>
      </c>
      <c r="T58" s="244"/>
      <c r="U58" s="241">
        <f>U56*(U20/100)</f>
        <v>88420.2740861</v>
      </c>
      <c r="V58" s="244"/>
      <c r="W58" s="241">
        <f>W56*(W20/100)</f>
        <v>351567.497988</v>
      </c>
      <c r="X58" s="244"/>
      <c r="Y58" s="244"/>
      <c r="Z58" s="241">
        <f>Z56*(Z20/100)</f>
        <v>73742.68189600001</v>
      </c>
      <c r="AA58" s="244"/>
      <c r="AB58" s="241">
        <f>AB56*(AB20/100)</f>
        <v>435658.545228</v>
      </c>
      <c r="AC58" s="244"/>
      <c r="AD58" s="241">
        <f>AD56*(AD20/100)</f>
        <v>119959.86157400001</v>
      </c>
      <c r="AE58" s="241">
        <f>AE56*(AE20/100)</f>
        <v>107614.560393</v>
      </c>
      <c r="AF58" s="244"/>
      <c r="AG58" s="241">
        <f>AG56*(AG20/100)</f>
        <v>127577.936</v>
      </c>
      <c r="AH58" s="241">
        <f>AH56*(AH20/100)</f>
        <v>372704.2287106</v>
      </c>
      <c r="AI58" s="241">
        <f>AI56*(AI20/100)</f>
        <v>164490.795392</v>
      </c>
      <c r="AJ58" s="241">
        <f>AJ56*(AJ20/100)</f>
        <v>92106.084</v>
      </c>
      <c r="AK58" s="244"/>
      <c r="AL58" s="241">
        <f>AL56*(AL20/100)</f>
        <v>85173.486972</v>
      </c>
      <c r="AM58" s="244"/>
      <c r="AN58" s="241">
        <f>AN56*(AN20/100)</f>
        <v>71802.28963199999</v>
      </c>
      <c r="AO58" s="244"/>
      <c r="AP58" s="241">
        <f>AP56*(AP20/100)</f>
        <v>63081.22274999999</v>
      </c>
      <c r="AQ58" s="244"/>
      <c r="AR58" s="241">
        <f>AR56*(AR20/100)</f>
        <v>375944.225958</v>
      </c>
      <c r="AS58" s="241">
        <f>AS56*(AS20/100)</f>
        <v>121537.27648000001</v>
      </c>
      <c r="AT58" s="244"/>
      <c r="AU58" s="241">
        <f>AU56*(AU20/100)</f>
        <v>129001.11795120001</v>
      </c>
      <c r="AV58" s="244"/>
      <c r="AW58" s="241">
        <f>AW56*(AW20/100)</f>
        <v>65543.775</v>
      </c>
      <c r="AX58" s="244"/>
      <c r="AY58" s="241">
        <f>AY56*(AY20/100)</f>
        <v>131031.422357</v>
      </c>
      <c r="AZ58" s="241">
        <f>AZ56*(AZ20/100)</f>
        <v>17623.6635315</v>
      </c>
      <c r="BA58" s="244"/>
      <c r="BB58" s="241">
        <f>BB56*(BB20/100)</f>
        <v>67614.05454499999</v>
      </c>
      <c r="BC58" s="241">
        <f>BC56*(BC20/100)</f>
        <v>58801.434120000005</v>
      </c>
      <c r="BD58" s="244"/>
      <c r="BE58" s="241">
        <f>BE56*(BE20/100)</f>
        <v>59479.88508</v>
      </c>
      <c r="BF58" s="244"/>
      <c r="BG58" s="241">
        <f>BG56*(BG20/100)</f>
        <v>49932.377140000004</v>
      </c>
      <c r="BH58" s="244"/>
      <c r="BI58" s="241">
        <f>BI56*(BI20/100)</f>
        <v>72700.318992</v>
      </c>
      <c r="BJ58" s="244"/>
      <c r="BK58" s="241">
        <f>BK56*(BK20/100)</f>
        <v>616797.108432</v>
      </c>
      <c r="BL58" s="241">
        <f>BL56*(BL20/100)</f>
        <v>92662.854412</v>
      </c>
      <c r="BM58" s="244"/>
      <c r="BN58" s="244"/>
      <c r="BO58" s="241">
        <f>BO56*(BO20/100)</f>
        <v>44822.818395</v>
      </c>
      <c r="BP58" s="241">
        <f>BP56*(BP20/100)</f>
        <v>60246.062745</v>
      </c>
      <c r="BQ58" s="241">
        <f>BQ56*(BQ20/100)</f>
        <v>14988.1615488</v>
      </c>
      <c r="BR58" s="241">
        <f>BR56*(BR20/100)</f>
        <v>20986.563312000002</v>
      </c>
      <c r="BS58" s="241">
        <f>BS56*(BS20/100)</f>
        <v>110.03729</v>
      </c>
      <c r="BT58" s="244"/>
      <c r="BU58" s="244"/>
      <c r="BV58" s="244"/>
      <c r="BW58" s="241">
        <f>BW56*(BW20/100)</f>
        <v>24211.5552768</v>
      </c>
      <c r="BX58" s="241">
        <f>BX56*(BX20/100)</f>
        <v>39661.671154</v>
      </c>
      <c r="BY58" s="241">
        <f>BY56*(BY20/100)</f>
        <v>9230.738</v>
      </c>
      <c r="BZ58" s="244"/>
      <c r="CA58" s="241">
        <f>CA56*(CA20/100)</f>
        <v>56736.259908</v>
      </c>
      <c r="CB58" s="241">
        <f>CB56*(CB20/100)</f>
        <v>0</v>
      </c>
      <c r="CC58" s="241"/>
      <c r="CD58" s="241">
        <f>CD56*(CD20/100)</f>
        <v>44057.456675</v>
      </c>
      <c r="CE58" s="241">
        <f>CE56*(CE20/100)</f>
        <v>12290.279452800001</v>
      </c>
      <c r="CF58" s="244"/>
      <c r="CG58" s="241">
        <f aca="true" t="shared" si="14" ref="CG58:CQ58">CG56*(CG20/100)</f>
        <v>69021.41881</v>
      </c>
      <c r="CH58" s="241">
        <f t="shared" si="14"/>
        <v>41777.32455600001</v>
      </c>
      <c r="CI58" s="241">
        <f t="shared" si="14"/>
        <v>34780.91925</v>
      </c>
      <c r="CJ58" s="241">
        <f t="shared" si="14"/>
        <v>24281.905648</v>
      </c>
      <c r="CK58" s="241">
        <f t="shared" si="14"/>
        <v>28304.117225999995</v>
      </c>
      <c r="CL58" s="241">
        <f t="shared" si="14"/>
        <v>29651.86196</v>
      </c>
      <c r="CM58" s="241">
        <f t="shared" si="14"/>
        <v>24152.860080000002</v>
      </c>
      <c r="CN58" s="241">
        <f t="shared" si="14"/>
        <v>16165.560881000001</v>
      </c>
      <c r="CO58" s="241">
        <f t="shared" si="14"/>
        <v>10031.747000000001</v>
      </c>
      <c r="CP58" s="241">
        <f t="shared" si="14"/>
        <v>76001.968924</v>
      </c>
      <c r="CQ58" s="241">
        <f t="shared" si="14"/>
        <v>0</v>
      </c>
      <c r="CR58" s="244"/>
      <c r="CS58" s="241">
        <f>CS56*(CS20/100)</f>
        <v>23844.620712</v>
      </c>
      <c r="CT58" s="241">
        <f>CT56*(CT20/100)</f>
        <v>1414.696</v>
      </c>
      <c r="CV58" s="241">
        <f aca="true" t="shared" si="15" ref="CV58:CV63">SUM(C58:CT58)</f>
        <v>12525583.526508808</v>
      </c>
      <c r="CW58" s="241"/>
      <c r="CX58" s="27">
        <f t="shared" si="13"/>
        <v>5990852.679246</v>
      </c>
      <c r="CY58" s="27">
        <f aca="true" t="shared" si="16" ref="CY58:CY63">+(C58+K58+M58+Q58+S58+U58+W58+Z58+AB58+AD58+AE58+AG58+AH58+AI58+AJ58+AL58+AN58+AP58+AS58+AU58+AW58+AY58+AZ58+BB58+BC58+BE58+BG58+BI58+BL58+BP58+BQ58+BR58+BW58+BY58+CD58+CE58+CI58+CJ58+CL58+CM58+CQ58+CT58)</f>
        <v>6534730.8472628025</v>
      </c>
      <c r="CZ58" s="241"/>
      <c r="DA58" s="93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</row>
    <row r="59" spans="1:132" ht="12.75">
      <c r="A59" s="168" t="s">
        <v>141</v>
      </c>
      <c r="B59" s="290"/>
      <c r="C59" s="241">
        <f>C56*(C21/100)</f>
        <v>370994.034738</v>
      </c>
      <c r="D59" s="244"/>
      <c r="E59" s="241">
        <f>E56*(E21/100)</f>
        <v>272331.38399999996</v>
      </c>
      <c r="F59" s="244"/>
      <c r="G59" s="244"/>
      <c r="H59" s="244"/>
      <c r="I59" s="244"/>
      <c r="J59" s="244"/>
      <c r="K59" s="241">
        <f>K56*(K21/100)</f>
        <v>461446.11329999997</v>
      </c>
      <c r="L59" s="244"/>
      <c r="M59" s="241">
        <f>M56*(M21/100)</f>
        <v>180829.444565</v>
      </c>
      <c r="N59" s="244"/>
      <c r="O59" s="244"/>
      <c r="P59" s="244"/>
      <c r="Q59" s="241">
        <f>Q56*(Q21/100)</f>
        <v>365001.41579999996</v>
      </c>
      <c r="R59" s="244"/>
      <c r="S59" s="241">
        <f>S56*(S21/100)</f>
        <v>170887.01073599997</v>
      </c>
      <c r="T59" s="244"/>
      <c r="U59" s="241">
        <f>U56*(U21/100)</f>
        <v>58651.4903458</v>
      </c>
      <c r="V59" s="244"/>
      <c r="W59" s="241">
        <f>W56*(W21/100)</f>
        <v>32328.045792000004</v>
      </c>
      <c r="X59" s="244"/>
      <c r="Y59" s="244"/>
      <c r="Z59" s="241">
        <f>Z56*(Z21/100)</f>
        <v>45230.835252000004</v>
      </c>
      <c r="AA59" s="244"/>
      <c r="AB59" s="241">
        <f>AB56*(AB21/100)</f>
        <v>99597.45503</v>
      </c>
      <c r="AC59" s="244"/>
      <c r="AD59" s="241">
        <f>AD56*(AD21/100)</f>
        <v>116366.59383100002</v>
      </c>
      <c r="AE59" s="241">
        <f>AE56*(AE21/100)</f>
        <v>103013.46279899999</v>
      </c>
      <c r="AF59" s="244"/>
      <c r="AG59" s="241">
        <f>AG56*(AG21/100)</f>
        <v>20179.888000000003</v>
      </c>
      <c r="AH59" s="241">
        <f>AH56*(AH21/100)</f>
        <v>106034.5168702</v>
      </c>
      <c r="AI59" s="241">
        <f>AI56*(AI21/100)</f>
        <v>156413.122404</v>
      </c>
      <c r="AJ59" s="241">
        <f>AJ56*(AJ21/100)</f>
        <v>8059.28235</v>
      </c>
      <c r="AK59" s="244"/>
      <c r="AL59" s="241">
        <f>AL56*(AL21/100)</f>
        <v>101722.739622</v>
      </c>
      <c r="AM59" s="244"/>
      <c r="AN59" s="241">
        <f>AN56*(AN21/100)</f>
        <v>967.9230220000001</v>
      </c>
      <c r="AO59" s="244"/>
      <c r="AP59" s="241">
        <f>AP56*(AP21/100)</f>
        <v>1247.76045</v>
      </c>
      <c r="AQ59" s="244"/>
      <c r="AR59" s="241">
        <f>AR56*(AR21/100)</f>
        <v>42624.0619</v>
      </c>
      <c r="AS59" s="241">
        <f>AS56*(AS21/100)</f>
        <v>81865.67491200002</v>
      </c>
      <c r="AT59" s="244"/>
      <c r="AU59" s="241">
        <f>AU56*(AU21/100)</f>
        <v>52867.640727000005</v>
      </c>
      <c r="AV59" s="244"/>
      <c r="AW59" s="241">
        <f>AW56*(AW21/100)</f>
        <v>79.447</v>
      </c>
      <c r="AX59" s="244"/>
      <c r="AY59" s="241">
        <f>AY56*(AY21/100)</f>
        <v>7004.936283399999</v>
      </c>
      <c r="AZ59" s="241">
        <f>AZ56*(AZ21/100)</f>
        <v>14503.715758999999</v>
      </c>
      <c r="BA59" s="244"/>
      <c r="BB59" s="241">
        <f>BB56*(BB21/100)</f>
        <v>39970.078261999995</v>
      </c>
      <c r="BC59" s="241">
        <f>BC56*(BC21/100)</f>
        <v>836.6057699999999</v>
      </c>
      <c r="BD59" s="244"/>
      <c r="BE59" s="241">
        <f>BE56*(BE21/100)</f>
        <v>49135.55724</v>
      </c>
      <c r="BF59" s="244"/>
      <c r="BG59" s="241">
        <f>BG56*(BG21/100)</f>
        <v>4398.188660000001</v>
      </c>
      <c r="BH59" s="244"/>
      <c r="BI59" s="241">
        <f>BI56*(BI21/100)</f>
        <v>24312.50472</v>
      </c>
      <c r="BJ59" s="244"/>
      <c r="BK59" s="241">
        <f>BK56*(BK21/100)</f>
        <v>52709.797872</v>
      </c>
      <c r="BL59" s="241">
        <f>BL56*(BL21/100)</f>
        <v>9187.535140000002</v>
      </c>
      <c r="BM59" s="244"/>
      <c r="BN59" s="244"/>
      <c r="BO59" s="241">
        <f>BO56*(BO21/100)</f>
        <v>104.84869800000001</v>
      </c>
      <c r="BP59" s="241">
        <f>BP56*(BP21/100)</f>
        <v>682.0308990000001</v>
      </c>
      <c r="BQ59" s="241">
        <f>BQ56*(BQ21/100)</f>
        <v>14984.5878336</v>
      </c>
      <c r="BR59" s="241">
        <f>BR56*(BR21/100)</f>
        <v>10236.453083999999</v>
      </c>
      <c r="BS59" s="241">
        <f>BS56*(BS21/100)</f>
        <v>100.80835599999999</v>
      </c>
      <c r="BT59" s="244"/>
      <c r="BU59" s="244"/>
      <c r="BV59" s="244"/>
      <c r="BW59" s="241">
        <f>BW56*(BW21/100)</f>
        <v>965.5236608</v>
      </c>
      <c r="BX59" s="241">
        <f>BX56*(BX21/100)</f>
        <v>2298.452641</v>
      </c>
      <c r="BY59" s="241">
        <f>BY56*(BY21/100)</f>
        <v>0</v>
      </c>
      <c r="BZ59" s="244"/>
      <c r="CA59" s="241">
        <f>CA56*(CA21/100)</f>
        <v>3350.56653</v>
      </c>
      <c r="CB59" s="241">
        <f>CB56*(CB21/100)</f>
        <v>0</v>
      </c>
      <c r="CC59" s="241"/>
      <c r="CD59" s="241">
        <f>CD56*(CD21/100)</f>
        <v>9004.443700000002</v>
      </c>
      <c r="CE59" s="241">
        <f>CE56*(CE21/100)</f>
        <v>421.85699040000003</v>
      </c>
      <c r="CF59" s="244"/>
      <c r="CG59" s="241">
        <f aca="true" t="shared" si="17" ref="CG59:CQ59">CG56*(CG21/100)</f>
        <v>2884.477204</v>
      </c>
      <c r="CH59" s="241">
        <f t="shared" si="17"/>
        <v>7163.547006000001</v>
      </c>
      <c r="CI59" s="241">
        <f t="shared" si="17"/>
        <v>5649.26446</v>
      </c>
      <c r="CJ59" s="241">
        <f t="shared" si="17"/>
        <v>0</v>
      </c>
      <c r="CK59" s="241">
        <f t="shared" si="17"/>
        <v>4492.71702</v>
      </c>
      <c r="CL59" s="241">
        <f t="shared" si="17"/>
        <v>6343.6134999999995</v>
      </c>
      <c r="CM59" s="241">
        <f t="shared" si="17"/>
        <v>1677.2819500000003</v>
      </c>
      <c r="CN59" s="241">
        <f t="shared" si="17"/>
        <v>1459.2325759999999</v>
      </c>
      <c r="CO59" s="241">
        <f t="shared" si="17"/>
        <v>182.39540000000002</v>
      </c>
      <c r="CP59" s="241">
        <f t="shared" si="17"/>
        <v>2447.916177</v>
      </c>
      <c r="CQ59" s="241">
        <f t="shared" si="17"/>
        <v>0</v>
      </c>
      <c r="CR59" s="244"/>
      <c r="CS59" s="241">
        <f>CS56*(CS21/100)</f>
        <v>3885.4870800000003</v>
      </c>
      <c r="CT59" s="241">
        <f>CT56*(CT21/100)</f>
        <v>0</v>
      </c>
      <c r="CV59" s="241">
        <f t="shared" si="15"/>
        <v>3129133.7679181993</v>
      </c>
      <c r="CW59" s="241"/>
      <c r="CX59" s="27">
        <f t="shared" si="13"/>
        <v>396035.6924599999</v>
      </c>
      <c r="CY59" s="27">
        <f t="shared" si="16"/>
        <v>2733098.0754581997</v>
      </c>
      <c r="CZ59" s="241"/>
      <c r="DA59" s="93"/>
      <c r="DB59" s="210"/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</row>
    <row r="60" spans="1:132" ht="12.75">
      <c r="A60" s="168" t="s">
        <v>142</v>
      </c>
      <c r="B60" s="290"/>
      <c r="C60" s="241">
        <f>C56*(C22/100)</f>
        <v>172191.32414</v>
      </c>
      <c r="D60" s="244"/>
      <c r="E60" s="241">
        <f>E56*(E22/100)</f>
        <v>1456656.24</v>
      </c>
      <c r="F60" s="244"/>
      <c r="G60" s="244"/>
      <c r="H60" s="244"/>
      <c r="I60" s="244"/>
      <c r="J60" s="244"/>
      <c r="K60" s="241">
        <f>K56*(K22/100)</f>
        <v>107670.75977</v>
      </c>
      <c r="L60" s="244"/>
      <c r="M60" s="241">
        <f>M56*(M22/100)</f>
        <v>170376.87551500002</v>
      </c>
      <c r="N60" s="244"/>
      <c r="O60" s="244"/>
      <c r="P60" s="244"/>
      <c r="Q60" s="241">
        <f>Q56*(Q22/100)</f>
        <v>95595.6089</v>
      </c>
      <c r="R60" s="244"/>
      <c r="S60" s="241">
        <f>S56*(S22/100)</f>
        <v>42468.961248</v>
      </c>
      <c r="T60" s="244"/>
      <c r="U60" s="241">
        <f>U56*(U22/100)</f>
        <v>17500.0234123</v>
      </c>
      <c r="V60" s="244"/>
      <c r="W60" s="241">
        <f>W56*(W22/100)</f>
        <v>64207.090948000005</v>
      </c>
      <c r="X60" s="244"/>
      <c r="Y60" s="244"/>
      <c r="Z60" s="241">
        <f>Z56*(Z22/100)</f>
        <v>26421.973068</v>
      </c>
      <c r="AA60" s="244"/>
      <c r="AB60" s="241">
        <f>AB56*(AB22/100)</f>
        <v>101525.147708</v>
      </c>
      <c r="AC60" s="244"/>
      <c r="AD60" s="241">
        <f>AD56*(AD22/100)</f>
        <v>32615.814898000004</v>
      </c>
      <c r="AE60" s="241">
        <f>AE56*(AE22/100)</f>
        <v>36297.547686</v>
      </c>
      <c r="AF60" s="244"/>
      <c r="AG60" s="241">
        <f>AG56*(AG22/100)</f>
        <v>22745.128</v>
      </c>
      <c r="AH60" s="241">
        <f>AH56*(AH22/100)</f>
        <v>50178.023173899994</v>
      </c>
      <c r="AI60" s="241">
        <f>AI56*(AI22/100)</f>
        <v>33045.02586</v>
      </c>
      <c r="AJ60" s="241">
        <f>AJ56*(AJ22/100)</f>
        <v>13815.9126</v>
      </c>
      <c r="AK60" s="244"/>
      <c r="AL60" s="241">
        <f>AL56*(AL22/100)</f>
        <v>26920.117643999998</v>
      </c>
      <c r="AM60" s="244"/>
      <c r="AN60" s="241">
        <f>AN56*(AN22/100)</f>
        <v>14694.831333999997</v>
      </c>
      <c r="AO60" s="244"/>
      <c r="AP60" s="241">
        <f>AP56*(AP22/100)</f>
        <v>2911.44105</v>
      </c>
      <c r="AQ60" s="244"/>
      <c r="AR60" s="241">
        <f>AR56*(AR22/100)</f>
        <v>6393.6092849999995</v>
      </c>
      <c r="AS60" s="241">
        <f>AS56*(AS22/100)</f>
        <v>19033.196128000003</v>
      </c>
      <c r="AT60" s="244"/>
      <c r="AU60" s="241">
        <f>AU56*(AU22/100)</f>
        <v>17805.902888400004</v>
      </c>
      <c r="AV60" s="244"/>
      <c r="AW60" s="241">
        <f>AW56*(AW22/100)</f>
        <v>476.682</v>
      </c>
      <c r="AX60" s="244"/>
      <c r="AY60" s="241">
        <f>AY56*(AY22/100)</f>
        <v>38918.2881329</v>
      </c>
      <c r="AZ60" s="241">
        <f>AZ56*(AZ22/100)</f>
        <v>203.6857095</v>
      </c>
      <c r="BA60" s="244"/>
      <c r="BB60" s="241">
        <f>BB56*(BB22/100)</f>
        <v>8017.949831</v>
      </c>
      <c r="BC60" s="241">
        <f>BC56*(BC22/100)</f>
        <v>131.466621</v>
      </c>
      <c r="BD60" s="244"/>
      <c r="BE60" s="241">
        <f>BE56*(BE22/100)</f>
        <v>12930.409800000001</v>
      </c>
      <c r="BF60" s="244"/>
      <c r="BG60" s="241">
        <f>BG56*(BG22/100)</f>
        <v>10025.282975</v>
      </c>
      <c r="BH60" s="244"/>
      <c r="BI60" s="241">
        <f>BI56*(BI22/100)</f>
        <v>20398.784448</v>
      </c>
      <c r="BJ60" s="244"/>
      <c r="BK60" s="241">
        <f>BK56*(BK22/100)</f>
        <v>253376.92310399996</v>
      </c>
      <c r="BL60" s="241">
        <f>BL56*(BL22/100)</f>
        <v>29006.360942000003</v>
      </c>
      <c r="BM60" s="244"/>
      <c r="BN60" s="244"/>
      <c r="BO60" s="241">
        <f>BO56*(BO22/100)</f>
        <v>7496.681907000001</v>
      </c>
      <c r="BP60" s="241">
        <f>BP56*(BP22/100)</f>
        <v>14853.117355999999</v>
      </c>
      <c r="BQ60" s="241">
        <f>BQ56*(BQ22/100)</f>
        <v>4613.6663232</v>
      </c>
      <c r="BR60" s="241">
        <f>BR56*(BR22/100)</f>
        <v>4072.5673560000005</v>
      </c>
      <c r="BS60" s="241">
        <f>BS56*(BS22/100)</f>
        <v>32.301269</v>
      </c>
      <c r="BT60" s="244"/>
      <c r="BU60" s="244"/>
      <c r="BV60" s="244"/>
      <c r="BW60" s="241">
        <f>BW56*(BW22/100)</f>
        <v>947.1577216000001</v>
      </c>
      <c r="BX60" s="241">
        <f>BX56*(BX22/100)</f>
        <v>11492.263205000001</v>
      </c>
      <c r="BY60" s="241">
        <f>BY56*(BY22/100)</f>
        <v>0</v>
      </c>
      <c r="BZ60" s="244"/>
      <c r="CA60" s="241">
        <f>CA56*(CA22/100)</f>
        <v>13625.637222</v>
      </c>
      <c r="CB60" s="241">
        <f>CB56*(CB22/100)</f>
        <v>0</v>
      </c>
      <c r="CC60" s="241"/>
      <c r="CD60" s="241">
        <f>CD56*(CD22/100)</f>
        <v>11191.23717</v>
      </c>
      <c r="CE60" s="241">
        <f>CE56*(CE22/100)</f>
        <v>562.9238184000001</v>
      </c>
      <c r="CF60" s="244"/>
      <c r="CG60" s="241">
        <f aca="true" t="shared" si="18" ref="CG60:CQ60">CG56*(CG22/100)</f>
        <v>30390.027685</v>
      </c>
      <c r="CH60" s="241">
        <f t="shared" si="18"/>
        <v>10956.013068</v>
      </c>
      <c r="CI60" s="241">
        <f t="shared" si="18"/>
        <v>1602.03022</v>
      </c>
      <c r="CJ60" s="241">
        <f t="shared" si="18"/>
        <v>8738.817692</v>
      </c>
      <c r="CK60" s="241">
        <f t="shared" si="18"/>
        <v>7760.14758</v>
      </c>
      <c r="CL60" s="241">
        <f t="shared" si="18"/>
        <v>253.74453999999997</v>
      </c>
      <c r="CM60" s="241">
        <f t="shared" si="18"/>
        <v>7715.496970000001</v>
      </c>
      <c r="CN60" s="241">
        <f t="shared" si="18"/>
        <v>4719.705362999999</v>
      </c>
      <c r="CO60" s="241">
        <f t="shared" si="18"/>
        <v>8025.3976</v>
      </c>
      <c r="CP60" s="241">
        <f t="shared" si="18"/>
        <v>37884.417025</v>
      </c>
      <c r="CQ60" s="241">
        <f t="shared" si="18"/>
        <v>0</v>
      </c>
      <c r="CR60" s="244"/>
      <c r="CS60" s="241">
        <f>CS56*(CS22/100)</f>
        <v>12842.557296</v>
      </c>
      <c r="CT60" s="241">
        <f>CT56*(CT22/100)</f>
        <v>0</v>
      </c>
      <c r="CV60" s="241">
        <f t="shared" si="15"/>
        <v>3104332.297207199</v>
      </c>
      <c r="CW60" s="241"/>
      <c r="CX60" s="27">
        <f t="shared" si="13"/>
        <v>1861651.9216090003</v>
      </c>
      <c r="CY60" s="27">
        <f t="shared" si="16"/>
        <v>1242680.3755982006</v>
      </c>
      <c r="CZ60" s="241"/>
      <c r="DA60" s="93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</row>
    <row r="61" spans="1:132" ht="12.75">
      <c r="A61" s="168" t="s">
        <v>143</v>
      </c>
      <c r="B61" s="290"/>
      <c r="C61" s="241">
        <f>C56*(C23/100)</f>
        <v>43830.518872</v>
      </c>
      <c r="D61" s="244"/>
      <c r="E61" s="241">
        <f>E56*(E23/100)</f>
        <v>12666.576000000001</v>
      </c>
      <c r="F61" s="244"/>
      <c r="G61" s="244"/>
      <c r="H61" s="244"/>
      <c r="I61" s="244"/>
      <c r="J61" s="244"/>
      <c r="K61" s="241">
        <f>K56*(K23/100)</f>
        <v>30763.07422</v>
      </c>
      <c r="L61" s="244"/>
      <c r="M61" s="241">
        <f>M56*(M23/100)</f>
        <v>24040.908815</v>
      </c>
      <c r="N61" s="244"/>
      <c r="O61" s="244"/>
      <c r="P61" s="244"/>
      <c r="Q61" s="241">
        <f>Q56*(Q23/100)</f>
        <v>43452.5495</v>
      </c>
      <c r="R61" s="244"/>
      <c r="S61" s="241">
        <f>S56*(S23/100)</f>
        <v>15673.069032</v>
      </c>
      <c r="T61" s="244"/>
      <c r="U61" s="241">
        <f>U56*(U23/100)</f>
        <v>5827.6611558</v>
      </c>
      <c r="V61" s="244"/>
      <c r="W61" s="241">
        <f>W56*(W23/100)</f>
        <v>898.001272</v>
      </c>
      <c r="X61" s="244"/>
      <c r="Y61" s="244"/>
      <c r="Z61" s="241">
        <f>Z56*(Z23/100)</f>
        <v>3881.1937840000005</v>
      </c>
      <c r="AA61" s="244"/>
      <c r="AB61" s="241">
        <f>AB56*(AB23/100)</f>
        <v>5783.078034000001</v>
      </c>
      <c r="AC61" s="244"/>
      <c r="AD61" s="241">
        <f>AD56*(AD23/100)</f>
        <v>7462.940697000001</v>
      </c>
      <c r="AE61" s="241">
        <f>AE56*(AE23/100)</f>
        <v>8690.962122</v>
      </c>
      <c r="AF61" s="244"/>
      <c r="AG61" s="241">
        <f>AG56*(AG23/100)</f>
        <v>513.048</v>
      </c>
      <c r="AH61" s="241">
        <f>AH56*(AH23/100)</f>
        <v>17035.4115672</v>
      </c>
      <c r="AI61" s="241">
        <f>AI56*(AI23/100)</f>
        <v>13218.010344000002</v>
      </c>
      <c r="AJ61" s="241">
        <f>AJ56*(AJ23/100)</f>
        <v>1151.32605</v>
      </c>
      <c r="AK61" s="244"/>
      <c r="AL61" s="241">
        <f>AL56*(AL23/100)</f>
        <v>6840.357762</v>
      </c>
      <c r="AM61" s="244"/>
      <c r="AN61" s="241">
        <f>AN56*(AN23/100)</f>
        <v>439.96500999999995</v>
      </c>
      <c r="AO61" s="244"/>
      <c r="AP61" s="241">
        <f>AP56*(AP23/100)</f>
        <v>138.64005</v>
      </c>
      <c r="AQ61" s="244"/>
      <c r="AR61" s="241">
        <f>AR56*(AR23/100)</f>
        <v>1278.721857</v>
      </c>
      <c r="AS61" s="241">
        <f>AS56*(AS23/100)</f>
        <v>6879.46848</v>
      </c>
      <c r="AT61" s="244"/>
      <c r="AU61" s="241">
        <f>AU56*(AU23/100)</f>
        <v>4054.2044334</v>
      </c>
      <c r="AV61" s="244"/>
      <c r="AW61" s="241">
        <f>AW56*(AW23/100)</f>
        <v>13347.096000000001</v>
      </c>
      <c r="AX61" s="244"/>
      <c r="AY61" s="241">
        <f>AY56*(AY23/100)</f>
        <v>835.6142266999999</v>
      </c>
      <c r="AZ61" s="241">
        <f>AZ56*(AZ23/100)</f>
        <v>0</v>
      </c>
      <c r="BA61" s="244"/>
      <c r="BB61" s="241">
        <f>BB56*(BB23/100)</f>
        <v>4068.810362</v>
      </c>
      <c r="BC61" s="241">
        <f>BC56*(BC23/100)</f>
        <v>0</v>
      </c>
      <c r="BD61" s="244"/>
      <c r="BE61" s="241">
        <f>BE56*(BE23/100)</f>
        <v>7758.2458799999995</v>
      </c>
      <c r="BF61" s="244"/>
      <c r="BG61" s="241">
        <f>BG56*(BG23/100)</f>
        <v>323.396225</v>
      </c>
      <c r="BH61" s="244"/>
      <c r="BI61" s="241">
        <f>BI56*(BI23/100)</f>
        <v>1185.97584</v>
      </c>
      <c r="BJ61" s="244"/>
      <c r="BK61" s="241">
        <f>BK56*(BK23/100)</f>
        <v>1849.466592</v>
      </c>
      <c r="BL61" s="241">
        <f>BL56*(BL23/100)</f>
        <v>393.751506</v>
      </c>
      <c r="BM61" s="244"/>
      <c r="BN61" s="244"/>
      <c r="BO61" s="241">
        <f>BO56*(BO23/100)</f>
        <v>0</v>
      </c>
      <c r="BP61" s="241">
        <f>BP56*(BP23/100)</f>
        <v>0</v>
      </c>
      <c r="BQ61" s="241">
        <f>BQ56*(BQ23/100)</f>
        <v>1150.7362944000001</v>
      </c>
      <c r="BR61" s="241">
        <f>BR56*(BR23/100)</f>
        <v>1394.212248</v>
      </c>
      <c r="BS61" s="241">
        <f>BS56*(BS23/100)</f>
        <v>111.812085</v>
      </c>
      <c r="BT61" s="244"/>
      <c r="BU61" s="244"/>
      <c r="BV61" s="244"/>
      <c r="BW61" s="241">
        <f>BW56*(BW23/100)</f>
        <v>112.8193408</v>
      </c>
      <c r="BX61" s="241">
        <f>BX56*(BX23/100)</f>
        <v>0</v>
      </c>
      <c r="BY61" s="241">
        <f>BY56*(BY23/100)</f>
        <v>0</v>
      </c>
      <c r="BZ61" s="244"/>
      <c r="CA61" s="241">
        <f>CA56*(CA23/100)</f>
        <v>744.57034</v>
      </c>
      <c r="CB61" s="241">
        <f>CB56*(CB23/100)</f>
        <v>0</v>
      </c>
      <c r="CC61" s="241"/>
      <c r="CD61" s="241">
        <f>CD56*(CD23/100)</f>
        <v>64.31745500000001</v>
      </c>
      <c r="CE61" s="241">
        <f>CE56*(CE23/100)</f>
        <v>159.8757384</v>
      </c>
      <c r="CF61" s="244"/>
      <c r="CG61" s="241">
        <f aca="true" t="shared" si="19" ref="CG61:CQ61">CG56*(CG23/100)</f>
        <v>721.119301</v>
      </c>
      <c r="CH61" s="241">
        <f t="shared" si="19"/>
        <v>300.98937</v>
      </c>
      <c r="CI61" s="241">
        <f t="shared" si="19"/>
        <v>126.47607</v>
      </c>
      <c r="CJ61" s="241">
        <f t="shared" si="19"/>
        <v>333.54266</v>
      </c>
      <c r="CK61" s="241">
        <f t="shared" si="19"/>
        <v>285.90017399999994</v>
      </c>
      <c r="CL61" s="241">
        <f t="shared" si="19"/>
        <v>0</v>
      </c>
      <c r="CM61" s="241">
        <f t="shared" si="19"/>
        <v>0</v>
      </c>
      <c r="CN61" s="241">
        <f t="shared" si="19"/>
        <v>456.01018</v>
      </c>
      <c r="CO61" s="241">
        <f t="shared" si="19"/>
        <v>0</v>
      </c>
      <c r="CP61" s="241">
        <f t="shared" si="19"/>
        <v>233.13487400000002</v>
      </c>
      <c r="CQ61" s="241">
        <f t="shared" si="19"/>
        <v>0</v>
      </c>
      <c r="CR61" s="244"/>
      <c r="CS61" s="241">
        <f>CS56*(CS23/100)</f>
        <v>327.198912</v>
      </c>
      <c r="CT61" s="241">
        <f>CT56*(CT23/100)</f>
        <v>0</v>
      </c>
      <c r="CV61" s="241">
        <f t="shared" si="15"/>
        <v>290804.7587317</v>
      </c>
      <c r="CW61" s="241"/>
      <c r="CX61" s="27">
        <f t="shared" si="13"/>
        <v>18975.499685</v>
      </c>
      <c r="CY61" s="27">
        <f t="shared" si="16"/>
        <v>271829.2590467</v>
      </c>
      <c r="CZ61" s="241"/>
      <c r="DA61" s="93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</row>
    <row r="62" spans="1:132" ht="12.75">
      <c r="A62" s="168" t="s">
        <v>304</v>
      </c>
      <c r="B62" s="290"/>
      <c r="C62" s="241">
        <f>C56*(C24/100)</f>
        <v>0</v>
      </c>
      <c r="D62" s="244"/>
      <c r="E62" s="241">
        <f>E56*(E24/100)</f>
        <v>0</v>
      </c>
      <c r="F62" s="244"/>
      <c r="G62" s="244"/>
      <c r="H62" s="244"/>
      <c r="I62" s="244"/>
      <c r="J62" s="244"/>
      <c r="K62" s="241">
        <f>K56*(K24/100)</f>
        <v>0</v>
      </c>
      <c r="L62" s="244"/>
      <c r="M62" s="241">
        <f>M56*(M24/100)</f>
        <v>13588.339765000002</v>
      </c>
      <c r="N62" s="244"/>
      <c r="O62" s="244"/>
      <c r="P62" s="244"/>
      <c r="Q62" s="241">
        <f>Q56*(Q24/100)</f>
        <v>0</v>
      </c>
      <c r="R62" s="244"/>
      <c r="S62" s="241">
        <f>S56*(S24/100)</f>
        <v>0</v>
      </c>
      <c r="T62" s="244"/>
      <c r="U62" s="241">
        <f>U56*(U24/100)</f>
        <v>0</v>
      </c>
      <c r="V62" s="244"/>
      <c r="W62" s="241">
        <f>W56*(W24/100)</f>
        <v>0</v>
      </c>
      <c r="X62" s="244"/>
      <c r="Y62" s="244"/>
      <c r="Z62" s="241">
        <f>Z56*(Z24/100)</f>
        <v>0</v>
      </c>
      <c r="AA62" s="244"/>
      <c r="AB62" s="241">
        <f>AB56*(AB24/100)</f>
        <v>0</v>
      </c>
      <c r="AC62" s="244"/>
      <c r="AD62" s="241">
        <f>AD56*(AD24/100)</f>
        <v>0</v>
      </c>
      <c r="AE62" s="241">
        <f>AE56*(AE24/100)</f>
        <v>0</v>
      </c>
      <c r="AF62" s="244"/>
      <c r="AG62" s="241">
        <f>AG56*(AG24/100)</f>
        <v>0</v>
      </c>
      <c r="AH62" s="241">
        <f>AH56*(AH24/100)</f>
        <v>0</v>
      </c>
      <c r="AI62" s="241">
        <f>AI56*(AI24/100)</f>
        <v>0</v>
      </c>
      <c r="AJ62" s="241">
        <f>AJ56*(AJ24/100)</f>
        <v>0</v>
      </c>
      <c r="AK62" s="244"/>
      <c r="AL62" s="241">
        <f>AL56*(AL24/100)</f>
        <v>0</v>
      </c>
      <c r="AM62" s="244"/>
      <c r="AN62" s="241">
        <f>AN56*(AN24/100)</f>
        <v>87.99300199999999</v>
      </c>
      <c r="AO62" s="244"/>
      <c r="AP62" s="241">
        <f>AP56*(AP24/100)</f>
        <v>1940.9606999999996</v>
      </c>
      <c r="AQ62" s="244"/>
      <c r="AR62" s="241">
        <f>AR56*(AR24/100)</f>
        <v>0</v>
      </c>
      <c r="AS62" s="241">
        <f>AS56*(AS24/100)</f>
        <v>0</v>
      </c>
      <c r="AT62" s="244"/>
      <c r="AU62" s="241">
        <f>AU56*(AU24/100)</f>
        <v>0</v>
      </c>
      <c r="AV62" s="244"/>
      <c r="AW62" s="241">
        <f>AW56*(AW24/100)</f>
        <v>0</v>
      </c>
      <c r="AX62" s="244"/>
      <c r="AY62" s="241">
        <f>AY56*(AY24/100)</f>
        <v>0</v>
      </c>
      <c r="AZ62" s="241">
        <f>AZ56*(AZ24/100)</f>
        <v>0</v>
      </c>
      <c r="BA62" s="244"/>
      <c r="BB62" s="241">
        <f>BB56*(BB24/100)</f>
        <v>0</v>
      </c>
      <c r="BC62" s="241">
        <f>BC56*(BC24/100)</f>
        <v>0</v>
      </c>
      <c r="BD62" s="244"/>
      <c r="BE62" s="241">
        <f>BE56*(BE24/100)</f>
        <v>0</v>
      </c>
      <c r="BF62" s="244"/>
      <c r="BG62" s="241">
        <f>BG56*(BG24/100)</f>
        <v>0</v>
      </c>
      <c r="BH62" s="244"/>
      <c r="BI62" s="241">
        <f>BI56*(BI24/100)</f>
        <v>0</v>
      </c>
      <c r="BJ62" s="244"/>
      <c r="BK62" s="241">
        <f>BK56*(BK24/100)</f>
        <v>0</v>
      </c>
      <c r="BL62" s="241">
        <f>BL56*(BL24/100)</f>
        <v>0</v>
      </c>
      <c r="BM62" s="244"/>
      <c r="BN62" s="244"/>
      <c r="BO62" s="241">
        <f>BO56*(BO24/100)</f>
        <v>0</v>
      </c>
      <c r="BP62" s="241">
        <f>BP56*(BP24/100)</f>
        <v>0</v>
      </c>
      <c r="BQ62" s="241">
        <f>BQ56*(BQ24/100)</f>
        <v>0</v>
      </c>
      <c r="BR62" s="241">
        <f>BR56*(BR24/100)</f>
        <v>0</v>
      </c>
      <c r="BS62" s="241">
        <f>BS56*(BS24/100)</f>
        <v>0</v>
      </c>
      <c r="BT62" s="244"/>
      <c r="BU62" s="244"/>
      <c r="BV62" s="244"/>
      <c r="BW62" s="241">
        <f>BW56*(BW24/100)</f>
        <v>0</v>
      </c>
      <c r="BX62" s="241">
        <f>BX56*(BX24/100)</f>
        <v>0</v>
      </c>
      <c r="BY62" s="241">
        <f>BY56*(BY24/100)</f>
        <v>0</v>
      </c>
      <c r="BZ62" s="244"/>
      <c r="CA62" s="241">
        <f>CA56*(CA24/100)</f>
        <v>0</v>
      </c>
      <c r="CB62" s="241">
        <f>CB56*(CB24/100)</f>
        <v>0</v>
      </c>
      <c r="CC62" s="241"/>
      <c r="CD62" s="241">
        <f>CD56*(CD24/100)</f>
        <v>0</v>
      </c>
      <c r="CE62" s="241">
        <f>CE56*(CE24/100)</f>
        <v>0</v>
      </c>
      <c r="CF62" s="244"/>
      <c r="CG62" s="241">
        <f aca="true" t="shared" si="20" ref="CG62:CQ62">CG56*(CG24/100)</f>
        <v>0</v>
      </c>
      <c r="CH62" s="241">
        <f t="shared" si="20"/>
        <v>0</v>
      </c>
      <c r="CI62" s="241">
        <f t="shared" si="20"/>
        <v>0</v>
      </c>
      <c r="CJ62" s="241">
        <f t="shared" si="20"/>
        <v>0</v>
      </c>
      <c r="CK62" s="241">
        <f t="shared" si="20"/>
        <v>0</v>
      </c>
      <c r="CL62" s="241">
        <f t="shared" si="20"/>
        <v>0</v>
      </c>
      <c r="CM62" s="241">
        <f t="shared" si="20"/>
        <v>0</v>
      </c>
      <c r="CN62" s="241">
        <f t="shared" si="20"/>
        <v>0</v>
      </c>
      <c r="CO62" s="241">
        <f t="shared" si="20"/>
        <v>0</v>
      </c>
      <c r="CP62" s="241">
        <f t="shared" si="20"/>
        <v>0</v>
      </c>
      <c r="CQ62" s="241">
        <f t="shared" si="20"/>
        <v>0</v>
      </c>
      <c r="CR62" s="244"/>
      <c r="CS62" s="241">
        <f>CS56*(CS24/100)</f>
        <v>0</v>
      </c>
      <c r="CT62" s="241">
        <f>CT56*(CT24/100)</f>
        <v>0</v>
      </c>
      <c r="CV62" s="241">
        <f t="shared" si="15"/>
        <v>15617.293467000001</v>
      </c>
      <c r="CW62" s="241"/>
      <c r="CX62" s="27">
        <f t="shared" si="13"/>
        <v>0</v>
      </c>
      <c r="CY62" s="27">
        <f t="shared" si="16"/>
        <v>15617.293467000001</v>
      </c>
      <c r="CZ62" s="241"/>
      <c r="DA62" s="93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</row>
    <row r="63" spans="1:132" ht="12.75">
      <c r="A63" s="26" t="s">
        <v>144</v>
      </c>
      <c r="B63" s="290"/>
      <c r="C63" s="241">
        <f>SUM(C58:C62)</f>
        <v>1565375.674</v>
      </c>
      <c r="D63" s="244"/>
      <c r="E63" s="241">
        <f>SUM(E58:E62)</f>
        <v>6333288</v>
      </c>
      <c r="F63" s="244"/>
      <c r="G63" s="244"/>
      <c r="H63" s="244"/>
      <c r="I63" s="244"/>
      <c r="J63" s="244"/>
      <c r="K63" s="241">
        <f>SUM(K58:K62)</f>
        <v>1538153.711</v>
      </c>
      <c r="L63" s="244"/>
      <c r="M63" s="241">
        <f>SUM(M58:M62)</f>
        <v>1045256.9050000001</v>
      </c>
      <c r="N63" s="244"/>
      <c r="O63" s="244"/>
      <c r="P63" s="244"/>
      <c r="Q63" s="241">
        <f>SUM(Q58:Q62)</f>
        <v>869050.9899999999</v>
      </c>
      <c r="R63" s="244"/>
      <c r="S63" s="241">
        <f>SUM(S58:S62)</f>
        <v>505582.872</v>
      </c>
      <c r="T63" s="244"/>
      <c r="U63" s="241">
        <f>SUM(U58:U62)</f>
        <v>170399.44900000002</v>
      </c>
      <c r="V63" s="244"/>
      <c r="W63" s="241">
        <f>SUM(W58:W62)</f>
        <v>449000.63600000006</v>
      </c>
      <c r="X63" s="244"/>
      <c r="Y63" s="244"/>
      <c r="Z63" s="241">
        <f aca="true" t="shared" si="21" ref="Z63:BS63">SUM(Z58:Z62)</f>
        <v>149276.684</v>
      </c>
      <c r="AA63" s="244"/>
      <c r="AB63" s="241">
        <f t="shared" si="21"/>
        <v>642564.226</v>
      </c>
      <c r="AC63" s="244"/>
      <c r="AD63" s="241">
        <f t="shared" si="21"/>
        <v>276405.211</v>
      </c>
      <c r="AE63" s="241">
        <f t="shared" si="21"/>
        <v>255616.533</v>
      </c>
      <c r="AF63" s="244"/>
      <c r="AG63" s="241">
        <f t="shared" si="21"/>
        <v>171016</v>
      </c>
      <c r="AH63" s="241">
        <f t="shared" si="21"/>
        <v>545952.1803218999</v>
      </c>
      <c r="AI63" s="241">
        <f t="shared" si="21"/>
        <v>367166.954</v>
      </c>
      <c r="AJ63" s="241">
        <f t="shared" si="21"/>
        <v>115132.605</v>
      </c>
      <c r="AK63" s="244"/>
      <c r="AL63" s="241">
        <f t="shared" si="21"/>
        <v>220656.702</v>
      </c>
      <c r="AM63" s="244"/>
      <c r="AN63" s="241">
        <f t="shared" si="21"/>
        <v>87993.002</v>
      </c>
      <c r="AO63" s="244"/>
      <c r="AP63" s="241">
        <f t="shared" si="21"/>
        <v>69320.025</v>
      </c>
      <c r="AQ63" s="244"/>
      <c r="AR63" s="241">
        <f t="shared" si="21"/>
        <v>426240.61900000006</v>
      </c>
      <c r="AS63" s="241">
        <f t="shared" si="21"/>
        <v>229315.61600000004</v>
      </c>
      <c r="AT63" s="244"/>
      <c r="AU63" s="241">
        <f t="shared" si="21"/>
        <v>203728.86600000004</v>
      </c>
      <c r="AV63" s="244"/>
      <c r="AW63" s="241">
        <f t="shared" si="21"/>
        <v>79447</v>
      </c>
      <c r="AX63" s="244"/>
      <c r="AY63" s="241">
        <f t="shared" si="21"/>
        <v>177790.261</v>
      </c>
      <c r="AZ63" s="241">
        <f t="shared" si="21"/>
        <v>32331.065</v>
      </c>
      <c r="BA63" s="244"/>
      <c r="BB63" s="241">
        <f t="shared" si="21"/>
        <v>119670.893</v>
      </c>
      <c r="BC63" s="241">
        <f t="shared" si="21"/>
        <v>59769.50651100001</v>
      </c>
      <c r="BD63" s="244"/>
      <c r="BE63" s="241">
        <f t="shared" si="21"/>
        <v>129304.098</v>
      </c>
      <c r="BF63" s="244"/>
      <c r="BG63" s="241">
        <f t="shared" si="21"/>
        <v>64679.245</v>
      </c>
      <c r="BH63" s="244"/>
      <c r="BI63" s="241">
        <f t="shared" si="21"/>
        <v>118597.584</v>
      </c>
      <c r="BJ63" s="244"/>
      <c r="BK63" s="241">
        <f t="shared" si="21"/>
        <v>924733.296</v>
      </c>
      <c r="BL63" s="241">
        <f t="shared" si="21"/>
        <v>131250.502</v>
      </c>
      <c r="BM63" s="244"/>
      <c r="BN63" s="244"/>
      <c r="BO63" s="241">
        <f t="shared" si="21"/>
        <v>52424.349</v>
      </c>
      <c r="BP63" s="241">
        <f t="shared" si="21"/>
        <v>75781.211</v>
      </c>
      <c r="BQ63" s="241">
        <f t="shared" si="21"/>
        <v>35737.152</v>
      </c>
      <c r="BR63" s="241">
        <f t="shared" si="21"/>
        <v>36689.796</v>
      </c>
      <c r="BS63" s="241">
        <f t="shared" si="21"/>
        <v>354.95899999999995</v>
      </c>
      <c r="BT63" s="244"/>
      <c r="BU63" s="244"/>
      <c r="BV63" s="244"/>
      <c r="BW63" s="241">
        <f>SUM(BW58:BW62)</f>
        <v>26237.056000000004</v>
      </c>
      <c r="BX63" s="241">
        <f>SUM(BX58:BX62)</f>
        <v>53452.38700000001</v>
      </c>
      <c r="BY63" s="241">
        <f>SUM(BY58:BY62)</f>
        <v>9230.738</v>
      </c>
      <c r="BZ63" s="244"/>
      <c r="CA63" s="241">
        <f>SUM(CA58:CA62)</f>
        <v>74457.03400000001</v>
      </c>
      <c r="CB63" s="241">
        <f>SUM(CB58:CB62)</f>
        <v>0</v>
      </c>
      <c r="CC63" s="241"/>
      <c r="CD63" s="241">
        <f aca="true" t="shared" si="22" ref="CD63:CT63">SUM(CD58:CD62)</f>
        <v>64317.455</v>
      </c>
      <c r="CE63" s="241">
        <f t="shared" si="22"/>
        <v>13434.936000000002</v>
      </c>
      <c r="CF63" s="244"/>
      <c r="CG63" s="241">
        <f t="shared" si="22"/>
        <v>103017.043</v>
      </c>
      <c r="CH63" s="241">
        <f t="shared" si="22"/>
        <v>60197.87400000001</v>
      </c>
      <c r="CI63" s="241">
        <f t="shared" si="22"/>
        <v>42158.689999999995</v>
      </c>
      <c r="CJ63" s="241">
        <f t="shared" si="22"/>
        <v>33354.265999999996</v>
      </c>
      <c r="CK63" s="241">
        <f t="shared" si="22"/>
        <v>40842.882</v>
      </c>
      <c r="CL63" s="241">
        <f t="shared" si="22"/>
        <v>36249.22</v>
      </c>
      <c r="CM63" s="241">
        <f t="shared" si="22"/>
        <v>33545.639</v>
      </c>
      <c r="CN63" s="241">
        <f t="shared" si="22"/>
        <v>22800.509000000002</v>
      </c>
      <c r="CO63" s="241">
        <f t="shared" si="22"/>
        <v>18239.54</v>
      </c>
      <c r="CP63" s="241">
        <f t="shared" si="22"/>
        <v>116567.437</v>
      </c>
      <c r="CQ63" s="241">
        <f t="shared" si="22"/>
        <v>0</v>
      </c>
      <c r="CR63" s="244"/>
      <c r="CS63" s="241">
        <f t="shared" si="22"/>
        <v>40899.864</v>
      </c>
      <c r="CT63" s="241">
        <f t="shared" si="22"/>
        <v>1414.696</v>
      </c>
      <c r="CV63" s="241">
        <f t="shared" si="15"/>
        <v>19065471.643832896</v>
      </c>
      <c r="CW63" s="241"/>
      <c r="CX63" s="27">
        <f t="shared" si="13"/>
        <v>8267515.793</v>
      </c>
      <c r="CY63" s="27">
        <f t="shared" si="16"/>
        <v>10797955.850832904</v>
      </c>
      <c r="CZ63" s="241"/>
      <c r="DA63" s="93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</row>
    <row r="64" spans="1:132" ht="12.75">
      <c r="A64" s="168"/>
      <c r="B64" s="290"/>
      <c r="C64" s="241"/>
      <c r="D64" s="176"/>
      <c r="E64" s="94"/>
      <c r="F64" s="176"/>
      <c r="G64" s="176"/>
      <c r="H64" s="176"/>
      <c r="I64" s="176"/>
      <c r="J64" s="176"/>
      <c r="K64" s="94"/>
      <c r="L64" s="176"/>
      <c r="M64" s="94"/>
      <c r="N64" s="176"/>
      <c r="O64" s="176"/>
      <c r="P64" s="176"/>
      <c r="Q64" s="94"/>
      <c r="R64" s="176"/>
      <c r="S64" s="94"/>
      <c r="T64" s="176"/>
      <c r="U64" s="94"/>
      <c r="V64" s="176"/>
      <c r="W64" s="94"/>
      <c r="X64" s="176"/>
      <c r="Y64" s="176"/>
      <c r="Z64" s="94"/>
      <c r="AA64" s="176"/>
      <c r="AB64" s="94"/>
      <c r="AC64" s="176"/>
      <c r="AD64" s="94"/>
      <c r="AE64" s="94"/>
      <c r="AF64" s="176"/>
      <c r="AG64" s="94"/>
      <c r="AH64" s="94"/>
      <c r="AI64" s="94"/>
      <c r="AJ64" s="94"/>
      <c r="AK64" s="176"/>
      <c r="AL64" s="94"/>
      <c r="AM64" s="176"/>
      <c r="AN64" s="94"/>
      <c r="AO64" s="176"/>
      <c r="AP64" s="94"/>
      <c r="AQ64" s="176"/>
      <c r="AR64" s="94"/>
      <c r="AS64" s="94"/>
      <c r="AT64" s="176"/>
      <c r="AU64" s="94"/>
      <c r="AV64" s="176"/>
      <c r="AW64" s="94"/>
      <c r="AX64" s="176"/>
      <c r="AY64" s="94"/>
      <c r="AZ64" s="94"/>
      <c r="BA64" s="176"/>
      <c r="BB64" s="94"/>
      <c r="BC64" s="94"/>
      <c r="BD64" s="176"/>
      <c r="BE64" s="94"/>
      <c r="BF64" s="176"/>
      <c r="BG64" s="94"/>
      <c r="BH64" s="176"/>
      <c r="BI64" s="94"/>
      <c r="BJ64" s="176"/>
      <c r="BK64" s="94"/>
      <c r="BL64" s="94"/>
      <c r="BM64" s="176"/>
      <c r="BN64" s="176"/>
      <c r="BO64" s="94"/>
      <c r="BP64" s="94"/>
      <c r="BQ64" s="94"/>
      <c r="BR64" s="94"/>
      <c r="BS64" s="94"/>
      <c r="BT64" s="176"/>
      <c r="BU64" s="176"/>
      <c r="BV64" s="176"/>
      <c r="BW64" s="94"/>
      <c r="BX64" s="94"/>
      <c r="BY64" s="94"/>
      <c r="BZ64" s="176"/>
      <c r="CA64" s="94"/>
      <c r="CB64" s="176"/>
      <c r="CC64" s="176"/>
      <c r="CD64" s="94"/>
      <c r="CE64" s="94"/>
      <c r="CF64" s="176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176"/>
      <c r="CS64" s="94"/>
      <c r="CT64" s="94"/>
      <c r="CV64" s="93">
        <f>SUM(CV58:CV62)</f>
        <v>19065471.643832907</v>
      </c>
      <c r="CW64" s="93">
        <f>SUM(CW58:CW62)</f>
        <v>0</v>
      </c>
      <c r="CX64" s="93">
        <f>SUM(CX58:CX62)</f>
        <v>8267515.793</v>
      </c>
      <c r="CY64" s="93">
        <f>SUM(CY58:CY62)</f>
        <v>10797955.850832902</v>
      </c>
      <c r="CZ64" s="93"/>
      <c r="DA64" s="93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</row>
    <row r="65" spans="3:138" ht="12.75">
      <c r="C65" s="241"/>
      <c r="D65" s="244"/>
      <c r="E65" s="241"/>
      <c r="F65" s="244"/>
      <c r="G65" s="244"/>
      <c r="H65" s="244"/>
      <c r="I65" s="244"/>
      <c r="J65" s="244"/>
      <c r="K65" s="241"/>
      <c r="L65" s="244"/>
      <c r="M65" s="241"/>
      <c r="N65" s="244"/>
      <c r="O65" s="244"/>
      <c r="P65" s="244"/>
      <c r="Q65" s="241"/>
      <c r="R65" s="244"/>
      <c r="S65" s="241"/>
      <c r="T65" s="244"/>
      <c r="U65" s="241"/>
      <c r="V65" s="244"/>
      <c r="W65" s="241"/>
      <c r="X65" s="244"/>
      <c r="Y65" s="244"/>
      <c r="Z65" s="241"/>
      <c r="AA65" s="244"/>
      <c r="AB65" s="241"/>
      <c r="AC65" s="244"/>
      <c r="AD65" s="241"/>
      <c r="AE65" s="241"/>
      <c r="AF65" s="244"/>
      <c r="AG65" s="241"/>
      <c r="AH65" s="299"/>
      <c r="AI65" s="241"/>
      <c r="AJ65" s="241"/>
      <c r="AK65" s="244"/>
      <c r="AL65" s="241"/>
      <c r="AM65" s="244"/>
      <c r="AN65" s="241"/>
      <c r="AO65" s="244"/>
      <c r="AP65" s="241"/>
      <c r="AQ65" s="244"/>
      <c r="AR65" s="241"/>
      <c r="AS65" s="241"/>
      <c r="AT65" s="244"/>
      <c r="AU65" s="241"/>
      <c r="AV65" s="244"/>
      <c r="AW65" s="241"/>
      <c r="AX65" s="244"/>
      <c r="AY65" s="241"/>
      <c r="AZ65" s="241"/>
      <c r="BA65" s="244"/>
      <c r="BB65" s="241"/>
      <c r="BC65" s="299"/>
      <c r="BD65" s="244"/>
      <c r="BE65" s="241"/>
      <c r="BF65" s="244"/>
      <c r="BG65" s="241"/>
      <c r="BH65" s="244"/>
      <c r="BI65" s="241"/>
      <c r="BJ65" s="244"/>
      <c r="BK65" s="241"/>
      <c r="BL65" s="241"/>
      <c r="BM65" s="244"/>
      <c r="BN65" s="244"/>
      <c r="BO65" s="241"/>
      <c r="BP65" s="241"/>
      <c r="BQ65" s="241"/>
      <c r="BR65" s="241"/>
      <c r="BS65" s="241"/>
      <c r="BT65" s="244"/>
      <c r="BU65" s="244"/>
      <c r="BV65" s="244"/>
      <c r="BW65" s="241"/>
      <c r="BX65" s="241"/>
      <c r="BY65" s="241"/>
      <c r="BZ65" s="244"/>
      <c r="CA65" s="241"/>
      <c r="CB65" s="244"/>
      <c r="CC65" s="244"/>
      <c r="CD65" s="241"/>
      <c r="CE65" s="241"/>
      <c r="CF65" s="244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244"/>
      <c r="CS65" s="241"/>
      <c r="CT65" s="241"/>
      <c r="CV65" s="241"/>
      <c r="CW65" s="241"/>
      <c r="CX65" s="96"/>
      <c r="CY65" s="96"/>
      <c r="CZ65" s="241"/>
      <c r="DA65" s="241"/>
      <c r="DB65" s="241"/>
      <c r="DC65" s="241"/>
      <c r="DD65" s="241"/>
      <c r="DE65" s="241"/>
      <c r="DF65" s="241"/>
      <c r="DG65" s="241"/>
      <c r="DH65" s="241"/>
      <c r="DI65" s="241"/>
      <c r="DJ65" s="241"/>
      <c r="DK65" s="241"/>
      <c r="DL65" s="241"/>
      <c r="DM65" s="241"/>
      <c r="DN65" s="241"/>
      <c r="DO65" s="241"/>
      <c r="DP65" s="241"/>
      <c r="DQ65" s="241"/>
      <c r="DR65" s="241"/>
      <c r="DS65" s="241"/>
      <c r="DT65" s="241"/>
      <c r="DU65" s="241"/>
      <c r="DV65" s="241"/>
      <c r="DW65" s="241"/>
      <c r="DX65" s="241"/>
      <c r="DY65" s="241"/>
      <c r="DZ65" s="241"/>
      <c r="EA65" s="241"/>
      <c r="EB65" s="241"/>
      <c r="EC65" s="241"/>
      <c r="ED65" s="241"/>
      <c r="EE65" s="241"/>
      <c r="EF65" s="241"/>
      <c r="EG65" s="241"/>
      <c r="EH65" s="241"/>
    </row>
    <row r="66" spans="1:138" ht="12.75">
      <c r="A66" s="205"/>
      <c r="C66" s="241"/>
      <c r="D66" s="244"/>
      <c r="E66" s="241"/>
      <c r="F66" s="244"/>
      <c r="G66" s="244"/>
      <c r="H66" s="244"/>
      <c r="I66" s="244"/>
      <c r="J66" s="244"/>
      <c r="K66" s="241"/>
      <c r="L66" s="244"/>
      <c r="M66" s="241"/>
      <c r="N66" s="244"/>
      <c r="O66" s="244"/>
      <c r="P66" s="244"/>
      <c r="Q66" s="241"/>
      <c r="R66" s="244"/>
      <c r="S66" s="241"/>
      <c r="T66" s="244"/>
      <c r="U66" s="241"/>
      <c r="V66" s="244"/>
      <c r="W66" s="241"/>
      <c r="X66" s="244"/>
      <c r="Y66" s="244"/>
      <c r="Z66" s="241"/>
      <c r="AA66" s="244"/>
      <c r="AB66" s="241"/>
      <c r="AC66" s="244"/>
      <c r="AD66" s="241"/>
      <c r="AE66" s="241"/>
      <c r="AF66" s="244"/>
      <c r="AG66" s="241"/>
      <c r="AH66" s="241"/>
      <c r="AI66" s="241"/>
      <c r="AJ66" s="241"/>
      <c r="AK66" s="244"/>
      <c r="AL66" s="241"/>
      <c r="AM66" s="244"/>
      <c r="AN66" s="241"/>
      <c r="AO66" s="244"/>
      <c r="AP66" s="241"/>
      <c r="AQ66" s="244"/>
      <c r="AR66" s="241"/>
      <c r="AS66" s="241"/>
      <c r="AT66" s="244"/>
      <c r="AU66" s="241"/>
      <c r="AV66" s="244"/>
      <c r="AW66" s="241"/>
      <c r="AX66" s="244"/>
      <c r="AY66" s="241"/>
      <c r="AZ66" s="241"/>
      <c r="BA66" s="244"/>
      <c r="BB66" s="241"/>
      <c r="BC66" s="241"/>
      <c r="BD66" s="244"/>
      <c r="BE66" s="241"/>
      <c r="BF66" s="244"/>
      <c r="BG66" s="241"/>
      <c r="BH66" s="244"/>
      <c r="BI66" s="241"/>
      <c r="BJ66" s="244"/>
      <c r="BK66" s="241"/>
      <c r="BL66" s="241"/>
      <c r="BM66" s="244"/>
      <c r="BN66" s="244"/>
      <c r="BO66" s="241"/>
      <c r="BP66" s="241"/>
      <c r="BQ66" s="241"/>
      <c r="BR66" s="241"/>
      <c r="BS66" s="241"/>
      <c r="BT66" s="244"/>
      <c r="BU66" s="244"/>
      <c r="BV66" s="244"/>
      <c r="BW66" s="241"/>
      <c r="BX66" s="241"/>
      <c r="BY66" s="241"/>
      <c r="BZ66" s="244"/>
      <c r="CA66" s="241"/>
      <c r="CB66" s="244"/>
      <c r="CC66" s="244"/>
      <c r="CD66" s="241"/>
      <c r="CE66" s="241"/>
      <c r="CF66" s="244"/>
      <c r="CG66" s="241"/>
      <c r="CH66" s="241"/>
      <c r="CI66" s="241"/>
      <c r="CJ66" s="241"/>
      <c r="CK66" s="241"/>
      <c r="CL66" s="241"/>
      <c r="CM66" s="241"/>
      <c r="CN66" s="241"/>
      <c r="CO66" s="241"/>
      <c r="CP66" s="241"/>
      <c r="CQ66" s="241"/>
      <c r="CR66" s="244"/>
      <c r="CS66" s="241"/>
      <c r="CT66" s="241"/>
      <c r="CV66" s="241">
        <f>+CV56-CV63</f>
        <v>42.649167098104954</v>
      </c>
      <c r="CW66" s="241"/>
      <c r="CX66" s="241">
        <f>+CX56-CX63</f>
        <v>0</v>
      </c>
      <c r="CY66" s="241">
        <f>+CY56-CY63</f>
        <v>42.649167098104954</v>
      </c>
      <c r="CZ66" s="241"/>
      <c r="DA66" s="241"/>
      <c r="DB66" s="241"/>
      <c r="DC66" s="241"/>
      <c r="DD66" s="241"/>
      <c r="DE66" s="241"/>
      <c r="DF66" s="241"/>
      <c r="DG66" s="241"/>
      <c r="DH66" s="241"/>
      <c r="DI66" s="241"/>
      <c r="DJ66" s="241"/>
      <c r="DK66" s="241"/>
      <c r="DL66" s="241"/>
      <c r="DM66" s="241"/>
      <c r="DN66" s="241"/>
      <c r="DO66" s="241"/>
      <c r="DP66" s="241"/>
      <c r="DQ66" s="241"/>
      <c r="DR66" s="241"/>
      <c r="DS66" s="241"/>
      <c r="DT66" s="241"/>
      <c r="DU66" s="241"/>
      <c r="DV66" s="241"/>
      <c r="DW66" s="241"/>
      <c r="DX66" s="241"/>
      <c r="DY66" s="241"/>
      <c r="DZ66" s="241"/>
      <c r="EA66" s="241"/>
      <c r="EB66" s="241"/>
      <c r="EC66" s="241"/>
      <c r="ED66" s="241"/>
      <c r="EE66" s="241"/>
      <c r="EF66" s="241"/>
      <c r="EG66" s="241"/>
      <c r="EH66" s="241"/>
    </row>
    <row r="67" spans="1:138" ht="12.75">
      <c r="A67" s="168"/>
      <c r="C67" s="241"/>
      <c r="D67" s="244"/>
      <c r="E67" s="241"/>
      <c r="F67" s="244"/>
      <c r="G67" s="244"/>
      <c r="H67" s="244"/>
      <c r="I67" s="244"/>
      <c r="J67" s="244"/>
      <c r="K67" s="241"/>
      <c r="L67" s="244"/>
      <c r="M67" s="241"/>
      <c r="N67" s="244"/>
      <c r="O67" s="244"/>
      <c r="P67" s="244"/>
      <c r="Q67" s="241"/>
      <c r="R67" s="244"/>
      <c r="S67" s="241"/>
      <c r="T67" s="244"/>
      <c r="U67" s="241"/>
      <c r="V67" s="244"/>
      <c r="W67" s="241"/>
      <c r="X67" s="244"/>
      <c r="Y67" s="244"/>
      <c r="Z67" s="241"/>
      <c r="AA67" s="244"/>
      <c r="AB67" s="241"/>
      <c r="AC67" s="244"/>
      <c r="AD67" s="241"/>
      <c r="AE67" s="241"/>
      <c r="AF67" s="244"/>
      <c r="AG67" s="241"/>
      <c r="AH67" s="241"/>
      <c r="AI67" s="241"/>
      <c r="AJ67" s="241"/>
      <c r="AK67" s="244"/>
      <c r="AL67" s="241"/>
      <c r="AM67" s="244"/>
      <c r="AN67" s="241"/>
      <c r="AO67" s="244"/>
      <c r="AP67" s="241"/>
      <c r="AQ67" s="244"/>
      <c r="AR67" s="241"/>
      <c r="AS67" s="241"/>
      <c r="AT67" s="244"/>
      <c r="AU67" s="241"/>
      <c r="AV67" s="244"/>
      <c r="AW67" s="241"/>
      <c r="AX67" s="244"/>
      <c r="AY67" s="241"/>
      <c r="AZ67" s="241"/>
      <c r="BA67" s="244"/>
      <c r="BB67" s="241"/>
      <c r="BC67" s="241"/>
      <c r="BD67" s="244"/>
      <c r="BE67" s="241"/>
      <c r="BF67" s="244"/>
      <c r="BG67" s="241"/>
      <c r="BH67" s="244"/>
      <c r="BI67" s="241"/>
      <c r="BJ67" s="244"/>
      <c r="BK67" s="241"/>
      <c r="BL67" s="241"/>
      <c r="BM67" s="244"/>
      <c r="BN67" s="244"/>
      <c r="BO67" s="241"/>
      <c r="BP67" s="241"/>
      <c r="BQ67" s="241"/>
      <c r="BR67" s="241"/>
      <c r="BS67" s="241"/>
      <c r="BT67" s="244"/>
      <c r="BU67" s="244"/>
      <c r="BV67" s="244"/>
      <c r="BW67" s="241"/>
      <c r="BX67" s="241"/>
      <c r="BY67" s="241"/>
      <c r="BZ67" s="244"/>
      <c r="CA67" s="241"/>
      <c r="CB67" s="244"/>
      <c r="CC67" s="244"/>
      <c r="CD67" s="241"/>
      <c r="CE67" s="241"/>
      <c r="CF67" s="244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4"/>
      <c r="CS67" s="241"/>
      <c r="CT67" s="241"/>
      <c r="CV67" s="241"/>
      <c r="CW67" s="241"/>
      <c r="CX67" s="96"/>
      <c r="CY67" s="96"/>
      <c r="CZ67" s="241"/>
      <c r="DA67" s="241"/>
      <c r="DB67" s="241"/>
      <c r="DC67" s="241"/>
      <c r="DD67" s="241"/>
      <c r="DE67" s="241"/>
      <c r="DF67" s="241"/>
      <c r="DG67" s="241"/>
      <c r="DH67" s="241"/>
      <c r="DI67" s="241"/>
      <c r="DJ67" s="241"/>
      <c r="DK67" s="241"/>
      <c r="DL67" s="241"/>
      <c r="DM67" s="241"/>
      <c r="DN67" s="241"/>
      <c r="DO67" s="241"/>
      <c r="DP67" s="241"/>
      <c r="DQ67" s="241"/>
      <c r="DR67" s="241"/>
      <c r="DS67" s="241"/>
      <c r="DT67" s="241"/>
      <c r="DU67" s="241"/>
      <c r="DV67" s="241"/>
      <c r="DW67" s="241"/>
      <c r="DX67" s="241"/>
      <c r="DY67" s="241"/>
      <c r="DZ67" s="241"/>
      <c r="EA67" s="241"/>
      <c r="EB67" s="241"/>
      <c r="EC67" s="241"/>
      <c r="ED67" s="241"/>
      <c r="EE67" s="241"/>
      <c r="EF67" s="241"/>
      <c r="EG67" s="241"/>
      <c r="EH67" s="241"/>
    </row>
    <row r="68" spans="1:138" ht="12.75">
      <c r="A68" s="168"/>
      <c r="C68" s="241"/>
      <c r="D68" s="244"/>
      <c r="E68" s="241"/>
      <c r="F68" s="244"/>
      <c r="G68" s="244"/>
      <c r="H68" s="244"/>
      <c r="I68" s="244"/>
      <c r="J68" s="244"/>
      <c r="K68" s="241"/>
      <c r="L68" s="244"/>
      <c r="M68" s="241"/>
      <c r="N68" s="244"/>
      <c r="O68" s="244"/>
      <c r="P68" s="244"/>
      <c r="Q68" s="241"/>
      <c r="R68" s="244"/>
      <c r="S68" s="241"/>
      <c r="T68" s="244"/>
      <c r="U68" s="241"/>
      <c r="V68" s="244"/>
      <c r="W68" s="241"/>
      <c r="X68" s="244"/>
      <c r="Y68" s="244"/>
      <c r="Z68" s="241"/>
      <c r="AA68" s="244"/>
      <c r="AB68" s="241"/>
      <c r="AC68" s="244"/>
      <c r="AD68" s="241"/>
      <c r="AE68" s="241"/>
      <c r="AF68" s="244"/>
      <c r="AG68" s="241"/>
      <c r="AH68" s="241"/>
      <c r="AI68" s="241"/>
      <c r="AJ68" s="241"/>
      <c r="AK68" s="244"/>
      <c r="AL68" s="241"/>
      <c r="AM68" s="244"/>
      <c r="AN68" s="241"/>
      <c r="AO68" s="244"/>
      <c r="AP68" s="241"/>
      <c r="AQ68" s="244"/>
      <c r="AR68" s="241"/>
      <c r="AS68" s="241"/>
      <c r="AT68" s="244"/>
      <c r="AU68" s="241"/>
      <c r="AV68" s="244"/>
      <c r="AW68" s="241"/>
      <c r="AX68" s="244"/>
      <c r="AY68" s="241"/>
      <c r="AZ68" s="241"/>
      <c r="BA68" s="244"/>
      <c r="BB68" s="241"/>
      <c r="BC68" s="241"/>
      <c r="BD68" s="244"/>
      <c r="BE68" s="241"/>
      <c r="BF68" s="244"/>
      <c r="BG68" s="241"/>
      <c r="BH68" s="244"/>
      <c r="BI68" s="241"/>
      <c r="BJ68" s="244"/>
      <c r="BK68" s="241"/>
      <c r="BL68" s="241"/>
      <c r="BM68" s="244"/>
      <c r="BN68" s="244"/>
      <c r="BO68" s="241"/>
      <c r="BP68" s="241"/>
      <c r="BQ68" s="241"/>
      <c r="BR68" s="241"/>
      <c r="BS68" s="241"/>
      <c r="BT68" s="244"/>
      <c r="BU68" s="244"/>
      <c r="BV68" s="244"/>
      <c r="BW68" s="241"/>
      <c r="BX68" s="241"/>
      <c r="BY68" s="241"/>
      <c r="BZ68" s="244"/>
      <c r="CA68" s="241"/>
      <c r="CB68" s="244"/>
      <c r="CC68" s="244"/>
      <c r="CD68" s="241"/>
      <c r="CE68" s="241"/>
      <c r="CF68" s="244"/>
      <c r="CG68" s="241"/>
      <c r="CH68" s="241"/>
      <c r="CI68" s="241"/>
      <c r="CJ68" s="241"/>
      <c r="CK68" s="241"/>
      <c r="CL68" s="241"/>
      <c r="CM68" s="241"/>
      <c r="CN68" s="241"/>
      <c r="CO68" s="241"/>
      <c r="CP68" s="241"/>
      <c r="CQ68" s="241"/>
      <c r="CR68" s="244"/>
      <c r="CS68" s="241"/>
      <c r="CT68" s="241"/>
      <c r="CV68" s="241"/>
      <c r="CW68" s="241"/>
      <c r="CX68" s="96"/>
      <c r="CY68" s="96"/>
      <c r="CZ68" s="241"/>
      <c r="DA68" s="241"/>
      <c r="DB68" s="241"/>
      <c r="DC68" s="241"/>
      <c r="DD68" s="241"/>
      <c r="DE68" s="241"/>
      <c r="DF68" s="241"/>
      <c r="DG68" s="241"/>
      <c r="DH68" s="241"/>
      <c r="DI68" s="241"/>
      <c r="DJ68" s="241"/>
      <c r="DK68" s="241"/>
      <c r="DL68" s="241"/>
      <c r="DM68" s="241"/>
      <c r="DN68" s="241"/>
      <c r="DO68" s="241"/>
      <c r="DP68" s="241"/>
      <c r="DQ68" s="241"/>
      <c r="DR68" s="241"/>
      <c r="DS68" s="241"/>
      <c r="DT68" s="241"/>
      <c r="DU68" s="241"/>
      <c r="DV68" s="241"/>
      <c r="DW68" s="241"/>
      <c r="DX68" s="241"/>
      <c r="DY68" s="241"/>
      <c r="DZ68" s="241"/>
      <c r="EA68" s="241"/>
      <c r="EB68" s="241"/>
      <c r="EC68" s="241"/>
      <c r="ED68" s="241"/>
      <c r="EE68" s="241"/>
      <c r="EF68" s="241"/>
      <c r="EG68" s="241"/>
      <c r="EH68" s="241"/>
    </row>
    <row r="69" spans="3:138" ht="12.75">
      <c r="C69" s="241"/>
      <c r="D69" s="244"/>
      <c r="E69" s="241"/>
      <c r="F69" s="244"/>
      <c r="G69" s="244"/>
      <c r="H69" s="244"/>
      <c r="I69" s="244"/>
      <c r="J69" s="244"/>
      <c r="K69" s="241"/>
      <c r="L69" s="244"/>
      <c r="M69" s="241"/>
      <c r="N69" s="244"/>
      <c r="O69" s="244"/>
      <c r="P69" s="244"/>
      <c r="Q69" s="241"/>
      <c r="R69" s="244"/>
      <c r="S69" s="241"/>
      <c r="T69" s="244"/>
      <c r="U69" s="241"/>
      <c r="V69" s="244"/>
      <c r="W69" s="241"/>
      <c r="X69" s="244"/>
      <c r="Y69" s="244"/>
      <c r="Z69" s="241"/>
      <c r="AA69" s="244"/>
      <c r="AB69" s="241"/>
      <c r="AC69" s="244"/>
      <c r="AD69" s="241"/>
      <c r="AE69" s="241"/>
      <c r="AF69" s="244"/>
      <c r="AG69" s="241"/>
      <c r="AH69" s="241"/>
      <c r="AI69" s="241"/>
      <c r="AJ69" s="241"/>
      <c r="AK69" s="244"/>
      <c r="AL69" s="241"/>
      <c r="AM69" s="244"/>
      <c r="AN69" s="241"/>
      <c r="AO69" s="244"/>
      <c r="AP69" s="241"/>
      <c r="AQ69" s="244"/>
      <c r="AR69" s="241"/>
      <c r="AS69" s="241"/>
      <c r="AT69" s="244"/>
      <c r="AU69" s="241"/>
      <c r="AV69" s="244"/>
      <c r="AW69" s="241"/>
      <c r="AX69" s="244"/>
      <c r="AY69" s="241"/>
      <c r="AZ69" s="241"/>
      <c r="BA69" s="244"/>
      <c r="BB69" s="241"/>
      <c r="BC69" s="241"/>
      <c r="BD69" s="244"/>
      <c r="BE69" s="241"/>
      <c r="BF69" s="244"/>
      <c r="BG69" s="241"/>
      <c r="BH69" s="244"/>
      <c r="BI69" s="241"/>
      <c r="BJ69" s="244"/>
      <c r="BK69" s="241"/>
      <c r="BL69" s="241"/>
      <c r="BM69" s="244"/>
      <c r="BN69" s="244"/>
      <c r="BO69" s="241"/>
      <c r="BP69" s="241"/>
      <c r="BQ69" s="241"/>
      <c r="BR69" s="241"/>
      <c r="BS69" s="241"/>
      <c r="BT69" s="244"/>
      <c r="BU69" s="244"/>
      <c r="BV69" s="244"/>
      <c r="BW69" s="241"/>
      <c r="BX69" s="241"/>
      <c r="BY69" s="241"/>
      <c r="BZ69" s="244"/>
      <c r="CA69" s="241"/>
      <c r="CB69" s="244"/>
      <c r="CC69" s="244"/>
      <c r="CD69" s="241"/>
      <c r="CE69" s="241"/>
      <c r="CF69" s="244"/>
      <c r="CG69" s="241"/>
      <c r="CH69" s="241"/>
      <c r="CI69" s="241"/>
      <c r="CJ69" s="241"/>
      <c r="CK69" s="241"/>
      <c r="CL69" s="241"/>
      <c r="CM69" s="241"/>
      <c r="CN69" s="241"/>
      <c r="CO69" s="241"/>
      <c r="CP69" s="241"/>
      <c r="CQ69" s="241"/>
      <c r="CR69" s="244"/>
      <c r="CS69" s="241"/>
      <c r="CT69" s="241"/>
      <c r="CV69" s="241">
        <f>+CX64+CY64</f>
        <v>19065471.6438329</v>
      </c>
      <c r="CW69" s="241"/>
      <c r="CX69" s="96"/>
      <c r="CY69" s="96"/>
      <c r="CZ69" s="241"/>
      <c r="DA69" s="241"/>
      <c r="DB69" s="241"/>
      <c r="DC69" s="241"/>
      <c r="DD69" s="241"/>
      <c r="DE69" s="241"/>
      <c r="DF69" s="241"/>
      <c r="DG69" s="241"/>
      <c r="DH69" s="241"/>
      <c r="DI69" s="241"/>
      <c r="DJ69" s="241"/>
      <c r="DK69" s="241"/>
      <c r="DL69" s="241"/>
      <c r="DM69" s="241"/>
      <c r="DN69" s="241"/>
      <c r="DO69" s="241"/>
      <c r="DP69" s="241"/>
      <c r="DQ69" s="241"/>
      <c r="DR69" s="241"/>
      <c r="DS69" s="241"/>
      <c r="DT69" s="241"/>
      <c r="DU69" s="241"/>
      <c r="DV69" s="241"/>
      <c r="DW69" s="241"/>
      <c r="DX69" s="241"/>
      <c r="DY69" s="241"/>
      <c r="DZ69" s="241"/>
      <c r="EA69" s="241"/>
      <c r="EB69" s="241"/>
      <c r="EC69" s="241"/>
      <c r="ED69" s="241"/>
      <c r="EE69" s="241"/>
      <c r="EF69" s="241"/>
      <c r="EG69" s="241"/>
      <c r="EH69" s="241"/>
    </row>
    <row r="70" spans="3:138" ht="12.75">
      <c r="C70" s="241"/>
      <c r="D70" s="244"/>
      <c r="E70" s="241"/>
      <c r="F70" s="244"/>
      <c r="G70" s="244"/>
      <c r="H70" s="244"/>
      <c r="I70" s="244"/>
      <c r="J70" s="244"/>
      <c r="K70" s="241"/>
      <c r="L70" s="244"/>
      <c r="M70" s="241"/>
      <c r="N70" s="244"/>
      <c r="O70" s="244"/>
      <c r="P70" s="244"/>
      <c r="Q70" s="241"/>
      <c r="R70" s="244"/>
      <c r="S70" s="241"/>
      <c r="T70" s="244"/>
      <c r="U70" s="241"/>
      <c r="V70" s="244"/>
      <c r="W70" s="241"/>
      <c r="X70" s="244"/>
      <c r="Y70" s="244"/>
      <c r="Z70" s="241"/>
      <c r="AA70" s="244"/>
      <c r="AB70" s="241"/>
      <c r="AC70" s="244"/>
      <c r="AD70" s="241"/>
      <c r="AE70" s="241"/>
      <c r="AF70" s="244"/>
      <c r="AG70" s="241"/>
      <c r="AH70" s="241"/>
      <c r="AI70" s="241"/>
      <c r="AJ70" s="241"/>
      <c r="AK70" s="244"/>
      <c r="AL70" s="241"/>
      <c r="AM70" s="244"/>
      <c r="AN70" s="241"/>
      <c r="AO70" s="244"/>
      <c r="AP70" s="241"/>
      <c r="AQ70" s="244"/>
      <c r="AR70" s="241"/>
      <c r="AS70" s="241"/>
      <c r="AT70" s="244"/>
      <c r="AU70" s="241"/>
      <c r="AV70" s="244"/>
      <c r="AW70" s="241"/>
      <c r="AX70" s="244"/>
      <c r="AY70" s="241"/>
      <c r="AZ70" s="241"/>
      <c r="BA70" s="244"/>
      <c r="BB70" s="241"/>
      <c r="BC70" s="241"/>
      <c r="BD70" s="244"/>
      <c r="BE70" s="241"/>
      <c r="BF70" s="244"/>
      <c r="BG70" s="241"/>
      <c r="BH70" s="244"/>
      <c r="BI70" s="241"/>
      <c r="BJ70" s="244"/>
      <c r="BK70" s="241"/>
      <c r="BL70" s="241"/>
      <c r="BM70" s="244"/>
      <c r="BN70" s="244"/>
      <c r="BO70" s="241"/>
      <c r="BP70" s="241"/>
      <c r="BQ70" s="241"/>
      <c r="BR70" s="241"/>
      <c r="BS70" s="241"/>
      <c r="BT70" s="244"/>
      <c r="BU70" s="244"/>
      <c r="BV70" s="244"/>
      <c r="BW70" s="241"/>
      <c r="BX70" s="241"/>
      <c r="BY70" s="241"/>
      <c r="BZ70" s="244"/>
      <c r="CA70" s="241"/>
      <c r="CB70" s="244"/>
      <c r="CC70" s="244"/>
      <c r="CD70" s="241"/>
      <c r="CE70" s="241"/>
      <c r="CF70" s="244"/>
      <c r="CG70" s="241"/>
      <c r="CH70" s="241"/>
      <c r="CI70" s="241"/>
      <c r="CJ70" s="241"/>
      <c r="CK70" s="241"/>
      <c r="CL70" s="241"/>
      <c r="CM70" s="241"/>
      <c r="CN70" s="241"/>
      <c r="CO70" s="241"/>
      <c r="CP70" s="241"/>
      <c r="CQ70" s="241"/>
      <c r="CR70" s="244"/>
      <c r="CS70" s="241"/>
      <c r="CT70" s="241"/>
      <c r="CV70" s="300"/>
      <c r="CW70" s="300"/>
      <c r="CX70" s="96"/>
      <c r="CY70" s="96"/>
      <c r="CZ70" s="241"/>
      <c r="DA70" s="241"/>
      <c r="DB70" s="241"/>
      <c r="DC70" s="241"/>
      <c r="DD70" s="241"/>
      <c r="DE70" s="241"/>
      <c r="DF70" s="241"/>
      <c r="DG70" s="241"/>
      <c r="DH70" s="241"/>
      <c r="DI70" s="241"/>
      <c r="DJ70" s="241"/>
      <c r="DK70" s="241"/>
      <c r="DL70" s="241"/>
      <c r="DM70" s="241"/>
      <c r="DN70" s="241"/>
      <c r="DO70" s="241"/>
      <c r="DP70" s="241"/>
      <c r="DQ70" s="241"/>
      <c r="DR70" s="241"/>
      <c r="DS70" s="241"/>
      <c r="DT70" s="241"/>
      <c r="DU70" s="241"/>
      <c r="DV70" s="241"/>
      <c r="DW70" s="241"/>
      <c r="DX70" s="241"/>
      <c r="DY70" s="241"/>
      <c r="DZ70" s="241"/>
      <c r="EA70" s="241"/>
      <c r="EB70" s="241"/>
      <c r="EC70" s="241"/>
      <c r="ED70" s="241"/>
      <c r="EE70" s="241"/>
      <c r="EF70" s="241"/>
      <c r="EG70" s="241"/>
      <c r="EH70" s="241"/>
    </row>
    <row r="71" spans="3:138" ht="12.75">
      <c r="C71" s="241"/>
      <c r="D71" s="244"/>
      <c r="E71" s="241"/>
      <c r="F71" s="244"/>
      <c r="G71" s="244"/>
      <c r="H71" s="244"/>
      <c r="I71" s="244"/>
      <c r="J71" s="244"/>
      <c r="K71" s="241"/>
      <c r="L71" s="244"/>
      <c r="M71" s="241"/>
      <c r="N71" s="244"/>
      <c r="O71" s="244"/>
      <c r="P71" s="244"/>
      <c r="Q71" s="241"/>
      <c r="R71" s="244"/>
      <c r="S71" s="241"/>
      <c r="T71" s="244"/>
      <c r="U71" s="241"/>
      <c r="V71" s="244"/>
      <c r="W71" s="241"/>
      <c r="X71" s="244"/>
      <c r="Y71" s="244"/>
      <c r="Z71" s="241"/>
      <c r="AA71" s="244"/>
      <c r="AB71" s="241"/>
      <c r="AC71" s="244"/>
      <c r="AD71" s="241"/>
      <c r="AE71" s="241"/>
      <c r="AF71" s="244"/>
      <c r="AG71" s="241"/>
      <c r="AH71" s="241"/>
      <c r="AI71" s="241"/>
      <c r="AJ71" s="241"/>
      <c r="AK71" s="244"/>
      <c r="AL71" s="241"/>
      <c r="AM71" s="244"/>
      <c r="AN71" s="241"/>
      <c r="AO71" s="244"/>
      <c r="AP71" s="241"/>
      <c r="AQ71" s="244"/>
      <c r="AR71" s="241"/>
      <c r="AS71" s="241"/>
      <c r="AT71" s="244"/>
      <c r="AU71" s="241"/>
      <c r="AV71" s="244"/>
      <c r="AW71" s="241"/>
      <c r="AX71" s="244"/>
      <c r="AY71" s="241"/>
      <c r="AZ71" s="241"/>
      <c r="BA71" s="244"/>
      <c r="BB71" s="241"/>
      <c r="BC71" s="241"/>
      <c r="BD71" s="244"/>
      <c r="BE71" s="241"/>
      <c r="BF71" s="244"/>
      <c r="BG71" s="241"/>
      <c r="BH71" s="244"/>
      <c r="BI71" s="241"/>
      <c r="BJ71" s="244"/>
      <c r="BK71" s="241"/>
      <c r="BL71" s="241"/>
      <c r="BM71" s="244"/>
      <c r="BN71" s="244"/>
      <c r="BO71" s="241"/>
      <c r="BP71" s="241"/>
      <c r="BQ71" s="241"/>
      <c r="BR71" s="241"/>
      <c r="BS71" s="241"/>
      <c r="BT71" s="244"/>
      <c r="BU71" s="244"/>
      <c r="BV71" s="244"/>
      <c r="BW71" s="241"/>
      <c r="BX71" s="241"/>
      <c r="BY71" s="241"/>
      <c r="BZ71" s="244"/>
      <c r="CA71" s="241"/>
      <c r="CB71" s="244"/>
      <c r="CC71" s="244"/>
      <c r="CD71" s="241"/>
      <c r="CE71" s="241"/>
      <c r="CF71" s="244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4"/>
      <c r="CS71" s="241"/>
      <c r="CT71" s="241"/>
      <c r="CV71" s="241"/>
      <c r="CW71" s="241"/>
      <c r="CZ71" s="241"/>
      <c r="DA71" s="241"/>
      <c r="DB71" s="241"/>
      <c r="DC71" s="241"/>
      <c r="DD71" s="241"/>
      <c r="DE71" s="241"/>
      <c r="DF71" s="241"/>
      <c r="DG71" s="241"/>
      <c r="DH71" s="241"/>
      <c r="DI71" s="241"/>
      <c r="DJ71" s="241"/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1"/>
      <c r="DX71" s="241"/>
      <c r="DY71" s="241"/>
      <c r="DZ71" s="241"/>
      <c r="EA71" s="241"/>
      <c r="EB71" s="241"/>
      <c r="EC71" s="241"/>
      <c r="ED71" s="241"/>
      <c r="EE71" s="241"/>
      <c r="EF71" s="241"/>
      <c r="EG71" s="241"/>
      <c r="EH71" s="241"/>
    </row>
    <row r="72" spans="3:138" ht="12.75">
      <c r="C72" s="241"/>
      <c r="D72" s="244"/>
      <c r="E72" s="241"/>
      <c r="F72" s="244"/>
      <c r="G72" s="244"/>
      <c r="H72" s="244"/>
      <c r="I72" s="244"/>
      <c r="J72" s="244"/>
      <c r="K72" s="241"/>
      <c r="L72" s="244"/>
      <c r="M72" s="241"/>
      <c r="N72" s="244"/>
      <c r="O72" s="244"/>
      <c r="P72" s="244"/>
      <c r="Q72" s="241"/>
      <c r="R72" s="244"/>
      <c r="S72" s="241"/>
      <c r="T72" s="244"/>
      <c r="U72" s="241"/>
      <c r="V72" s="244"/>
      <c r="W72" s="241"/>
      <c r="X72" s="244"/>
      <c r="Y72" s="244"/>
      <c r="Z72" s="241"/>
      <c r="AA72" s="244"/>
      <c r="AB72" s="241"/>
      <c r="AC72" s="244"/>
      <c r="AD72" s="241"/>
      <c r="AE72" s="241"/>
      <c r="AF72" s="244"/>
      <c r="AG72" s="241"/>
      <c r="AH72" s="241"/>
      <c r="AI72" s="241"/>
      <c r="AJ72" s="241"/>
      <c r="AK72" s="244"/>
      <c r="AL72" s="241"/>
      <c r="AM72" s="244"/>
      <c r="AN72" s="241"/>
      <c r="AO72" s="244"/>
      <c r="AP72" s="241"/>
      <c r="AQ72" s="244"/>
      <c r="AR72" s="241"/>
      <c r="AS72" s="241"/>
      <c r="AT72" s="244"/>
      <c r="AU72" s="241"/>
      <c r="AV72" s="244"/>
      <c r="AW72" s="241"/>
      <c r="AX72" s="244"/>
      <c r="AY72" s="241"/>
      <c r="AZ72" s="241"/>
      <c r="BA72" s="244"/>
      <c r="BB72" s="241"/>
      <c r="BC72" s="241"/>
      <c r="BD72" s="244"/>
      <c r="BE72" s="241"/>
      <c r="BF72" s="244"/>
      <c r="BG72" s="241"/>
      <c r="BH72" s="244"/>
      <c r="BI72" s="241"/>
      <c r="BJ72" s="244"/>
      <c r="BK72" s="241"/>
      <c r="BL72" s="241"/>
      <c r="BM72" s="244"/>
      <c r="BN72" s="244"/>
      <c r="BO72" s="241"/>
      <c r="BP72" s="241"/>
      <c r="BQ72" s="241"/>
      <c r="BR72" s="241"/>
      <c r="BS72" s="241"/>
      <c r="BT72" s="244"/>
      <c r="BU72" s="244"/>
      <c r="BV72" s="244"/>
      <c r="BW72" s="241"/>
      <c r="BX72" s="241"/>
      <c r="BY72" s="241"/>
      <c r="BZ72" s="244"/>
      <c r="CA72" s="241"/>
      <c r="CB72" s="244"/>
      <c r="CC72" s="244"/>
      <c r="CD72" s="241"/>
      <c r="CE72" s="241"/>
      <c r="CF72" s="244"/>
      <c r="CG72" s="241"/>
      <c r="CH72" s="241"/>
      <c r="CI72" s="241"/>
      <c r="CJ72" s="241"/>
      <c r="CK72" s="241"/>
      <c r="CL72" s="241"/>
      <c r="CM72" s="241"/>
      <c r="CN72" s="241"/>
      <c r="CO72" s="241"/>
      <c r="CP72" s="241"/>
      <c r="CQ72" s="241"/>
      <c r="CR72" s="244"/>
      <c r="CS72" s="241"/>
      <c r="CT72" s="241"/>
      <c r="CV72" s="241"/>
      <c r="CW72" s="241"/>
      <c r="CZ72" s="241"/>
      <c r="DA72" s="241"/>
      <c r="DB72" s="241"/>
      <c r="DC72" s="241"/>
      <c r="DD72" s="241"/>
      <c r="DE72" s="241"/>
      <c r="DF72" s="241"/>
      <c r="DG72" s="241"/>
      <c r="DH72" s="241"/>
      <c r="DI72" s="241"/>
      <c r="DJ72" s="241"/>
      <c r="DK72" s="241"/>
      <c r="DL72" s="241"/>
      <c r="DM72" s="241"/>
      <c r="DN72" s="241"/>
      <c r="DO72" s="241"/>
      <c r="DP72" s="241"/>
      <c r="DQ72" s="241"/>
      <c r="DR72" s="241"/>
      <c r="DS72" s="241"/>
      <c r="DT72" s="241"/>
      <c r="DU72" s="241"/>
      <c r="DV72" s="241"/>
      <c r="DW72" s="241"/>
      <c r="DX72" s="241"/>
      <c r="DY72" s="241"/>
      <c r="DZ72" s="241"/>
      <c r="EA72" s="241"/>
      <c r="EB72" s="241"/>
      <c r="EC72" s="241"/>
      <c r="ED72" s="241"/>
      <c r="EE72" s="241"/>
      <c r="EF72" s="241"/>
      <c r="EG72" s="241"/>
      <c r="EH72" s="241"/>
    </row>
    <row r="73" spans="3:138" ht="12.75">
      <c r="C73" s="241"/>
      <c r="D73" s="244"/>
      <c r="E73" s="241"/>
      <c r="F73" s="244"/>
      <c r="G73" s="244"/>
      <c r="H73" s="244"/>
      <c r="I73" s="244"/>
      <c r="J73" s="244"/>
      <c r="K73" s="241"/>
      <c r="L73" s="244"/>
      <c r="M73" s="241"/>
      <c r="N73" s="244"/>
      <c r="O73" s="244"/>
      <c r="P73" s="244"/>
      <c r="Q73" s="241"/>
      <c r="R73" s="244"/>
      <c r="S73" s="241"/>
      <c r="T73" s="244"/>
      <c r="U73" s="241"/>
      <c r="V73" s="244"/>
      <c r="W73" s="241"/>
      <c r="X73" s="244"/>
      <c r="Y73" s="244"/>
      <c r="Z73" s="241"/>
      <c r="AA73" s="244"/>
      <c r="AB73" s="241"/>
      <c r="AC73" s="244"/>
      <c r="AD73" s="241"/>
      <c r="AE73" s="241"/>
      <c r="AF73" s="244"/>
      <c r="AG73" s="241"/>
      <c r="AH73" s="241"/>
      <c r="AI73" s="241"/>
      <c r="AJ73" s="241"/>
      <c r="AK73" s="244"/>
      <c r="AL73" s="241"/>
      <c r="AM73" s="244"/>
      <c r="AN73" s="241"/>
      <c r="AO73" s="244"/>
      <c r="AP73" s="241"/>
      <c r="AQ73" s="244"/>
      <c r="AR73" s="241"/>
      <c r="AS73" s="241"/>
      <c r="AT73" s="244"/>
      <c r="AU73" s="241"/>
      <c r="AV73" s="244"/>
      <c r="AW73" s="241"/>
      <c r="AX73" s="244"/>
      <c r="AY73" s="241"/>
      <c r="AZ73" s="241"/>
      <c r="BA73" s="244"/>
      <c r="BB73" s="241"/>
      <c r="BC73" s="241"/>
      <c r="BD73" s="244"/>
      <c r="BE73" s="241"/>
      <c r="BF73" s="244"/>
      <c r="BG73" s="241"/>
      <c r="BH73" s="244"/>
      <c r="BI73" s="241"/>
      <c r="BJ73" s="244"/>
      <c r="BK73" s="241"/>
      <c r="BL73" s="241"/>
      <c r="BM73" s="244"/>
      <c r="BN73" s="244"/>
      <c r="BO73" s="241"/>
      <c r="BP73" s="241"/>
      <c r="BQ73" s="241"/>
      <c r="BR73" s="241"/>
      <c r="BS73" s="241"/>
      <c r="BT73" s="244"/>
      <c r="BU73" s="244"/>
      <c r="BV73" s="244"/>
      <c r="BW73" s="241"/>
      <c r="BX73" s="241"/>
      <c r="BY73" s="241"/>
      <c r="BZ73" s="244"/>
      <c r="CA73" s="241"/>
      <c r="CB73" s="244"/>
      <c r="CC73" s="244"/>
      <c r="CD73" s="241"/>
      <c r="CE73" s="241"/>
      <c r="CF73" s="244"/>
      <c r="CG73" s="241"/>
      <c r="CH73" s="241"/>
      <c r="CI73" s="241"/>
      <c r="CJ73" s="241"/>
      <c r="CK73" s="241"/>
      <c r="CL73" s="241"/>
      <c r="CM73" s="241"/>
      <c r="CN73" s="241"/>
      <c r="CO73" s="241"/>
      <c r="CP73" s="241"/>
      <c r="CQ73" s="241"/>
      <c r="CR73" s="244"/>
      <c r="CS73" s="241"/>
      <c r="CT73" s="241"/>
      <c r="CV73" s="241"/>
      <c r="CW73" s="241"/>
      <c r="CZ73" s="241"/>
      <c r="DA73" s="241"/>
      <c r="DB73" s="241"/>
      <c r="DC73" s="241"/>
      <c r="DD73" s="241"/>
      <c r="DE73" s="241"/>
      <c r="DF73" s="241"/>
      <c r="DG73" s="241"/>
      <c r="DH73" s="241"/>
      <c r="DI73" s="241"/>
      <c r="DJ73" s="241"/>
      <c r="DK73" s="241"/>
      <c r="DL73" s="241"/>
      <c r="DM73" s="241"/>
      <c r="DN73" s="241"/>
      <c r="DO73" s="241"/>
      <c r="DP73" s="241"/>
      <c r="DQ73" s="241"/>
      <c r="DR73" s="241"/>
      <c r="DS73" s="241"/>
      <c r="DT73" s="241"/>
      <c r="DU73" s="241"/>
      <c r="DV73" s="241"/>
      <c r="DW73" s="241"/>
      <c r="DX73" s="241"/>
      <c r="DY73" s="241"/>
      <c r="DZ73" s="241"/>
      <c r="EA73" s="241"/>
      <c r="EB73" s="241"/>
      <c r="EC73" s="241"/>
      <c r="ED73" s="241"/>
      <c r="EE73" s="241"/>
      <c r="EF73" s="241"/>
      <c r="EG73" s="241"/>
      <c r="EH73" s="241"/>
    </row>
    <row r="74" spans="3:138" ht="12.75">
      <c r="C74" s="241"/>
      <c r="D74" s="244"/>
      <c r="E74" s="241"/>
      <c r="F74" s="244"/>
      <c r="G74" s="244"/>
      <c r="H74" s="244"/>
      <c r="I74" s="244"/>
      <c r="J74" s="244"/>
      <c r="K74" s="241"/>
      <c r="L74" s="244"/>
      <c r="M74" s="241"/>
      <c r="N74" s="244"/>
      <c r="O74" s="244"/>
      <c r="P74" s="244"/>
      <c r="Q74" s="241"/>
      <c r="R74" s="244"/>
      <c r="S74" s="241"/>
      <c r="T74" s="244"/>
      <c r="U74" s="241"/>
      <c r="V74" s="244"/>
      <c r="W74" s="241"/>
      <c r="X74" s="244"/>
      <c r="Y74" s="244"/>
      <c r="Z74" s="241"/>
      <c r="AA74" s="244"/>
      <c r="AB74" s="241"/>
      <c r="AC74" s="244"/>
      <c r="AD74" s="241"/>
      <c r="AE74" s="241"/>
      <c r="AF74" s="244"/>
      <c r="AG74" s="241"/>
      <c r="AH74" s="241"/>
      <c r="AI74" s="241"/>
      <c r="AJ74" s="241"/>
      <c r="AK74" s="244"/>
      <c r="AL74" s="241"/>
      <c r="AM74" s="244"/>
      <c r="AN74" s="241"/>
      <c r="AO74" s="244"/>
      <c r="AP74" s="241"/>
      <c r="AQ74" s="244"/>
      <c r="AR74" s="241"/>
      <c r="AS74" s="241"/>
      <c r="AT74" s="244"/>
      <c r="AU74" s="241"/>
      <c r="AV74" s="244"/>
      <c r="AW74" s="241"/>
      <c r="AX74" s="244"/>
      <c r="AY74" s="241"/>
      <c r="AZ74" s="241"/>
      <c r="BA74" s="244"/>
      <c r="BB74" s="241"/>
      <c r="BC74" s="241"/>
      <c r="BD74" s="244"/>
      <c r="BE74" s="241"/>
      <c r="BF74" s="244"/>
      <c r="BG74" s="241"/>
      <c r="BH74" s="244"/>
      <c r="BI74" s="241"/>
      <c r="BJ74" s="244"/>
      <c r="BK74" s="241"/>
      <c r="BL74" s="241"/>
      <c r="BM74" s="244"/>
      <c r="BN74" s="244"/>
      <c r="BO74" s="241"/>
      <c r="BP74" s="241"/>
      <c r="BQ74" s="241"/>
      <c r="BR74" s="241"/>
      <c r="BS74" s="241"/>
      <c r="BT74" s="244"/>
      <c r="BU74" s="244"/>
      <c r="BV74" s="244"/>
      <c r="BW74" s="241"/>
      <c r="BX74" s="241"/>
      <c r="BY74" s="241"/>
      <c r="BZ74" s="244"/>
      <c r="CA74" s="241"/>
      <c r="CB74" s="244"/>
      <c r="CC74" s="244"/>
      <c r="CD74" s="241"/>
      <c r="CE74" s="241"/>
      <c r="CF74" s="244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4"/>
      <c r="CS74" s="241"/>
      <c r="CT74" s="241"/>
      <c r="CV74" s="241"/>
      <c r="CW74" s="241"/>
      <c r="CZ74" s="241"/>
      <c r="DA74" s="241"/>
      <c r="DB74" s="241"/>
      <c r="DC74" s="241"/>
      <c r="DD74" s="241"/>
      <c r="DE74" s="241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1"/>
      <c r="DQ74" s="241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1"/>
      <c r="EF74" s="241"/>
      <c r="EG74" s="241"/>
      <c r="EH74" s="241"/>
    </row>
    <row r="75" spans="3:138" ht="12.75">
      <c r="C75" s="241"/>
      <c r="D75" s="244"/>
      <c r="E75" s="241"/>
      <c r="F75" s="244"/>
      <c r="G75" s="244"/>
      <c r="H75" s="244"/>
      <c r="I75" s="244"/>
      <c r="J75" s="244"/>
      <c r="K75" s="241"/>
      <c r="L75" s="244"/>
      <c r="M75" s="241"/>
      <c r="N75" s="244"/>
      <c r="O75" s="244"/>
      <c r="P75" s="244"/>
      <c r="Q75" s="241"/>
      <c r="R75" s="244"/>
      <c r="S75" s="241"/>
      <c r="T75" s="244"/>
      <c r="U75" s="241"/>
      <c r="V75" s="244"/>
      <c r="W75" s="241"/>
      <c r="X75" s="244"/>
      <c r="Y75" s="244"/>
      <c r="Z75" s="241"/>
      <c r="AA75" s="244"/>
      <c r="AB75" s="241"/>
      <c r="AC75" s="244"/>
      <c r="AD75" s="241"/>
      <c r="AE75" s="241"/>
      <c r="AF75" s="244"/>
      <c r="AG75" s="241"/>
      <c r="AH75" s="241"/>
      <c r="AI75" s="241"/>
      <c r="AJ75" s="241"/>
      <c r="AK75" s="244"/>
      <c r="AL75" s="241"/>
      <c r="AM75" s="244"/>
      <c r="AN75" s="241"/>
      <c r="AO75" s="244"/>
      <c r="AP75" s="241"/>
      <c r="AQ75" s="244"/>
      <c r="AR75" s="241"/>
      <c r="AS75" s="241"/>
      <c r="AT75" s="244"/>
      <c r="AU75" s="241"/>
      <c r="AV75" s="244"/>
      <c r="AW75" s="241"/>
      <c r="AX75" s="244"/>
      <c r="AY75" s="241"/>
      <c r="AZ75" s="241"/>
      <c r="BA75" s="244"/>
      <c r="BB75" s="241"/>
      <c r="BC75" s="241"/>
      <c r="BD75" s="244"/>
      <c r="BE75" s="241"/>
      <c r="BF75" s="244"/>
      <c r="BG75" s="241"/>
      <c r="BH75" s="244"/>
      <c r="BI75" s="241"/>
      <c r="BJ75" s="244"/>
      <c r="BK75" s="241"/>
      <c r="BL75" s="241"/>
      <c r="BM75" s="244"/>
      <c r="BN75" s="244"/>
      <c r="BO75" s="241"/>
      <c r="BP75" s="241"/>
      <c r="BQ75" s="241"/>
      <c r="BR75" s="241"/>
      <c r="BS75" s="241"/>
      <c r="BT75" s="244"/>
      <c r="BU75" s="244"/>
      <c r="BV75" s="244"/>
      <c r="BW75" s="241"/>
      <c r="BX75" s="241"/>
      <c r="BY75" s="241"/>
      <c r="BZ75" s="244"/>
      <c r="CA75" s="241"/>
      <c r="CB75" s="244"/>
      <c r="CC75" s="244"/>
      <c r="CD75" s="241"/>
      <c r="CE75" s="241"/>
      <c r="CF75" s="244"/>
      <c r="CG75" s="241"/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  <c r="CR75" s="244"/>
      <c r="CS75" s="241"/>
      <c r="CT75" s="241"/>
      <c r="CV75" s="241"/>
      <c r="CW75" s="241"/>
      <c r="CZ75" s="241"/>
      <c r="DA75" s="241"/>
      <c r="DB75" s="241"/>
      <c r="DC75" s="241"/>
      <c r="DD75" s="241"/>
      <c r="DE75" s="241"/>
      <c r="DF75" s="241"/>
      <c r="DG75" s="241"/>
      <c r="DH75" s="241"/>
      <c r="DI75" s="241"/>
      <c r="DJ75" s="241"/>
      <c r="DK75" s="241"/>
      <c r="DL75" s="241"/>
      <c r="DM75" s="241"/>
      <c r="DN75" s="241"/>
      <c r="DO75" s="241"/>
      <c r="DP75" s="241"/>
      <c r="DQ75" s="241"/>
      <c r="DR75" s="241"/>
      <c r="DS75" s="241"/>
      <c r="DT75" s="241"/>
      <c r="DU75" s="241"/>
      <c r="DV75" s="241"/>
      <c r="DW75" s="241"/>
      <c r="DX75" s="241"/>
      <c r="DY75" s="241"/>
      <c r="DZ75" s="241"/>
      <c r="EA75" s="241"/>
      <c r="EB75" s="241"/>
      <c r="EC75" s="241"/>
      <c r="ED75" s="241"/>
      <c r="EE75" s="241"/>
      <c r="EF75" s="241"/>
      <c r="EG75" s="241"/>
      <c r="EH75" s="241"/>
    </row>
    <row r="76" spans="3:138" ht="12.75">
      <c r="C76" s="241"/>
      <c r="D76" s="244"/>
      <c r="E76" s="241"/>
      <c r="F76" s="244"/>
      <c r="G76" s="244"/>
      <c r="H76" s="244"/>
      <c r="I76" s="244"/>
      <c r="J76" s="244"/>
      <c r="K76" s="241"/>
      <c r="L76" s="244"/>
      <c r="M76" s="241"/>
      <c r="N76" s="244"/>
      <c r="O76" s="244"/>
      <c r="P76" s="244"/>
      <c r="Q76" s="241"/>
      <c r="R76" s="244"/>
      <c r="S76" s="241"/>
      <c r="T76" s="244"/>
      <c r="U76" s="241"/>
      <c r="V76" s="244"/>
      <c r="W76" s="241"/>
      <c r="X76" s="244"/>
      <c r="Y76" s="244"/>
      <c r="Z76" s="241"/>
      <c r="AA76" s="244"/>
      <c r="AB76" s="241"/>
      <c r="AC76" s="244"/>
      <c r="AD76" s="241"/>
      <c r="AE76" s="241"/>
      <c r="AF76" s="244"/>
      <c r="AG76" s="241"/>
      <c r="AH76" s="241"/>
      <c r="AI76" s="241"/>
      <c r="AJ76" s="241"/>
      <c r="AK76" s="244"/>
      <c r="AL76" s="241"/>
      <c r="AM76" s="244"/>
      <c r="AN76" s="241"/>
      <c r="AO76" s="244"/>
      <c r="AP76" s="241"/>
      <c r="AQ76" s="244"/>
      <c r="AR76" s="241"/>
      <c r="AS76" s="241"/>
      <c r="AT76" s="244"/>
      <c r="AU76" s="241"/>
      <c r="AV76" s="244"/>
      <c r="AW76" s="241"/>
      <c r="AX76" s="244"/>
      <c r="AY76" s="241"/>
      <c r="AZ76" s="241"/>
      <c r="BA76" s="244"/>
      <c r="BB76" s="241"/>
      <c r="BC76" s="241"/>
      <c r="BD76" s="244"/>
      <c r="BE76" s="241"/>
      <c r="BF76" s="244"/>
      <c r="BG76" s="241"/>
      <c r="BH76" s="244"/>
      <c r="BI76" s="241"/>
      <c r="BJ76" s="244"/>
      <c r="BK76" s="241"/>
      <c r="BL76" s="241"/>
      <c r="BM76" s="244"/>
      <c r="BN76" s="244"/>
      <c r="BO76" s="241"/>
      <c r="BP76" s="241"/>
      <c r="BQ76" s="241"/>
      <c r="BR76" s="241"/>
      <c r="BS76" s="241"/>
      <c r="BT76" s="244"/>
      <c r="BU76" s="244"/>
      <c r="BV76" s="244"/>
      <c r="BW76" s="241"/>
      <c r="BX76" s="241"/>
      <c r="BY76" s="241"/>
      <c r="BZ76" s="244"/>
      <c r="CA76" s="241"/>
      <c r="CB76" s="244"/>
      <c r="CC76" s="244"/>
      <c r="CD76" s="241"/>
      <c r="CE76" s="241"/>
      <c r="CF76" s="244"/>
      <c r="CG76" s="241"/>
      <c r="CH76" s="241"/>
      <c r="CI76" s="241"/>
      <c r="CJ76" s="241"/>
      <c r="CK76" s="241"/>
      <c r="CL76" s="241"/>
      <c r="CM76" s="241"/>
      <c r="CN76" s="241"/>
      <c r="CO76" s="241"/>
      <c r="CP76" s="241"/>
      <c r="CQ76" s="241"/>
      <c r="CR76" s="244"/>
      <c r="CS76" s="241"/>
      <c r="CT76" s="241"/>
      <c r="CV76" s="241"/>
      <c r="CW76" s="241"/>
      <c r="CZ76" s="241"/>
      <c r="DA76" s="241"/>
      <c r="DB76" s="241"/>
      <c r="DC76" s="241"/>
      <c r="DD76" s="241"/>
      <c r="DE76" s="241"/>
      <c r="DF76" s="241"/>
      <c r="DG76" s="241"/>
      <c r="DH76" s="241"/>
      <c r="DI76" s="241"/>
      <c r="DJ76" s="241"/>
      <c r="DK76" s="241"/>
      <c r="DL76" s="241"/>
      <c r="DM76" s="241"/>
      <c r="DN76" s="241"/>
      <c r="DO76" s="241"/>
      <c r="DP76" s="241"/>
      <c r="DQ76" s="241"/>
      <c r="DR76" s="241"/>
      <c r="DS76" s="241"/>
      <c r="DT76" s="241"/>
      <c r="DU76" s="241"/>
      <c r="DV76" s="241"/>
      <c r="DW76" s="241"/>
      <c r="DX76" s="241"/>
      <c r="DY76" s="241"/>
      <c r="DZ76" s="241"/>
      <c r="EA76" s="241"/>
      <c r="EB76" s="241"/>
      <c r="EC76" s="241"/>
      <c r="ED76" s="241"/>
      <c r="EE76" s="241"/>
      <c r="EF76" s="241"/>
      <c r="EG76" s="241"/>
      <c r="EH76" s="241"/>
    </row>
    <row r="77" spans="3:138" ht="12.75">
      <c r="C77" s="241"/>
      <c r="D77" s="244"/>
      <c r="E77" s="241"/>
      <c r="F77" s="244"/>
      <c r="G77" s="244"/>
      <c r="H77" s="244"/>
      <c r="I77" s="244"/>
      <c r="J77" s="244"/>
      <c r="K77" s="241"/>
      <c r="L77" s="244"/>
      <c r="M77" s="241"/>
      <c r="N77" s="244"/>
      <c r="O77" s="244"/>
      <c r="P77" s="244"/>
      <c r="Q77" s="241"/>
      <c r="R77" s="244"/>
      <c r="S77" s="241"/>
      <c r="T77" s="244"/>
      <c r="U77" s="241"/>
      <c r="V77" s="244"/>
      <c r="W77" s="241"/>
      <c r="X77" s="244"/>
      <c r="Y77" s="244"/>
      <c r="Z77" s="241"/>
      <c r="AA77" s="244"/>
      <c r="AB77" s="241"/>
      <c r="AC77" s="244"/>
      <c r="AD77" s="241"/>
      <c r="AE77" s="241"/>
      <c r="AF77" s="244"/>
      <c r="AG77" s="241"/>
      <c r="AH77" s="241"/>
      <c r="AI77" s="241"/>
      <c r="AJ77" s="241"/>
      <c r="AK77" s="244"/>
      <c r="AL77" s="241"/>
      <c r="AM77" s="244"/>
      <c r="AN77" s="241"/>
      <c r="AO77" s="244"/>
      <c r="AP77" s="241"/>
      <c r="AQ77" s="244"/>
      <c r="AR77" s="241"/>
      <c r="AS77" s="241"/>
      <c r="AT77" s="244"/>
      <c r="AU77" s="241"/>
      <c r="AV77" s="244"/>
      <c r="AW77" s="241"/>
      <c r="AX77" s="244"/>
      <c r="AY77" s="241"/>
      <c r="AZ77" s="241"/>
      <c r="BA77" s="244"/>
      <c r="BB77" s="241"/>
      <c r="BC77" s="241"/>
      <c r="BD77" s="244"/>
      <c r="BE77" s="241"/>
      <c r="BF77" s="244"/>
      <c r="BG77" s="241"/>
      <c r="BH77" s="244"/>
      <c r="BI77" s="241"/>
      <c r="BJ77" s="244"/>
      <c r="BK77" s="241"/>
      <c r="BL77" s="241"/>
      <c r="BM77" s="244"/>
      <c r="BN77" s="244"/>
      <c r="BO77" s="241"/>
      <c r="BP77" s="241"/>
      <c r="BQ77" s="241"/>
      <c r="BR77" s="241"/>
      <c r="BS77" s="241"/>
      <c r="BT77" s="244"/>
      <c r="BU77" s="244"/>
      <c r="BV77" s="244"/>
      <c r="BW77" s="241"/>
      <c r="BX77" s="241"/>
      <c r="BY77" s="241"/>
      <c r="BZ77" s="244"/>
      <c r="CA77" s="241"/>
      <c r="CB77" s="244"/>
      <c r="CC77" s="244"/>
      <c r="CD77" s="241"/>
      <c r="CE77" s="241"/>
      <c r="CF77" s="244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4"/>
      <c r="CS77" s="241"/>
      <c r="CT77" s="241"/>
      <c r="CV77" s="241"/>
      <c r="CW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</row>
    <row r="78" spans="3:138" ht="12.75">
      <c r="C78" s="241"/>
      <c r="D78" s="244"/>
      <c r="E78" s="241"/>
      <c r="F78" s="244"/>
      <c r="G78" s="244"/>
      <c r="H78" s="244"/>
      <c r="I78" s="244"/>
      <c r="J78" s="244"/>
      <c r="K78" s="241"/>
      <c r="L78" s="244"/>
      <c r="M78" s="241"/>
      <c r="N78" s="244"/>
      <c r="O78" s="244"/>
      <c r="P78" s="244"/>
      <c r="Q78" s="241"/>
      <c r="R78" s="244"/>
      <c r="S78" s="241"/>
      <c r="T78" s="244"/>
      <c r="U78" s="241"/>
      <c r="V78" s="244"/>
      <c r="W78" s="241"/>
      <c r="X78" s="244"/>
      <c r="Y78" s="244"/>
      <c r="Z78" s="241"/>
      <c r="AA78" s="244"/>
      <c r="AB78" s="241"/>
      <c r="AC78" s="244"/>
      <c r="AD78" s="241"/>
      <c r="AE78" s="241"/>
      <c r="AF78" s="244"/>
      <c r="AG78" s="241"/>
      <c r="AH78" s="241"/>
      <c r="AI78" s="241"/>
      <c r="AJ78" s="241"/>
      <c r="AK78" s="244"/>
      <c r="AL78" s="241"/>
      <c r="AM78" s="244"/>
      <c r="AN78" s="241"/>
      <c r="AO78" s="244"/>
      <c r="AP78" s="241"/>
      <c r="AQ78" s="244"/>
      <c r="AR78" s="241"/>
      <c r="AS78" s="241"/>
      <c r="AT78" s="244"/>
      <c r="AU78" s="241"/>
      <c r="AV78" s="244"/>
      <c r="AW78" s="241"/>
      <c r="AX78" s="244"/>
      <c r="AY78" s="241"/>
      <c r="AZ78" s="241"/>
      <c r="BA78" s="244"/>
      <c r="BB78" s="241"/>
      <c r="BC78" s="241"/>
      <c r="BD78" s="244"/>
      <c r="BE78" s="241"/>
      <c r="BF78" s="244"/>
      <c r="BG78" s="241"/>
      <c r="BH78" s="244"/>
      <c r="BI78" s="241"/>
      <c r="BJ78" s="244"/>
      <c r="BK78" s="241"/>
      <c r="BL78" s="241"/>
      <c r="BM78" s="244"/>
      <c r="BN78" s="244"/>
      <c r="BO78" s="241"/>
      <c r="BP78" s="241"/>
      <c r="BQ78" s="241"/>
      <c r="BR78" s="241"/>
      <c r="BS78" s="241"/>
      <c r="BT78" s="244"/>
      <c r="BU78" s="244"/>
      <c r="BV78" s="244"/>
      <c r="BW78" s="241"/>
      <c r="BX78" s="241"/>
      <c r="BY78" s="241"/>
      <c r="BZ78" s="244"/>
      <c r="CA78" s="241"/>
      <c r="CB78" s="244"/>
      <c r="CC78" s="244"/>
      <c r="CD78" s="241"/>
      <c r="CE78" s="241"/>
      <c r="CF78" s="244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4"/>
      <c r="CS78" s="241"/>
      <c r="CT78" s="241"/>
      <c r="CV78" s="241"/>
      <c r="CW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</row>
    <row r="79" spans="3:138" ht="12.75">
      <c r="C79" s="241"/>
      <c r="D79" s="244"/>
      <c r="E79" s="241"/>
      <c r="F79" s="244"/>
      <c r="G79" s="244"/>
      <c r="H79" s="244"/>
      <c r="I79" s="244"/>
      <c r="J79" s="244"/>
      <c r="K79" s="241"/>
      <c r="L79" s="244"/>
      <c r="M79" s="241"/>
      <c r="N79" s="244"/>
      <c r="O79" s="244"/>
      <c r="P79" s="244"/>
      <c r="Q79" s="241"/>
      <c r="R79" s="244"/>
      <c r="S79" s="241"/>
      <c r="T79" s="244"/>
      <c r="U79" s="241"/>
      <c r="V79" s="244"/>
      <c r="W79" s="241"/>
      <c r="X79" s="244"/>
      <c r="Y79" s="244"/>
      <c r="Z79" s="241"/>
      <c r="AA79" s="244"/>
      <c r="AB79" s="241"/>
      <c r="AC79" s="244"/>
      <c r="AD79" s="241"/>
      <c r="AE79" s="241"/>
      <c r="AF79" s="244"/>
      <c r="AG79" s="241"/>
      <c r="AH79" s="241"/>
      <c r="AI79" s="241"/>
      <c r="AJ79" s="241"/>
      <c r="AK79" s="244"/>
      <c r="AL79" s="241"/>
      <c r="AM79" s="244"/>
      <c r="AN79" s="241"/>
      <c r="AO79" s="244"/>
      <c r="AP79" s="241"/>
      <c r="AQ79" s="244"/>
      <c r="AR79" s="241"/>
      <c r="AS79" s="241"/>
      <c r="AT79" s="244"/>
      <c r="AU79" s="241"/>
      <c r="AV79" s="244"/>
      <c r="AW79" s="241"/>
      <c r="AX79" s="244"/>
      <c r="AY79" s="241"/>
      <c r="AZ79" s="241"/>
      <c r="BA79" s="244"/>
      <c r="BB79" s="241"/>
      <c r="BC79" s="241"/>
      <c r="BD79" s="244"/>
      <c r="BE79" s="241"/>
      <c r="BF79" s="244"/>
      <c r="BG79" s="241"/>
      <c r="BH79" s="244"/>
      <c r="BI79" s="241"/>
      <c r="BJ79" s="244"/>
      <c r="BK79" s="241"/>
      <c r="BL79" s="241"/>
      <c r="BM79" s="244"/>
      <c r="BN79" s="244"/>
      <c r="BO79" s="241"/>
      <c r="BP79" s="241"/>
      <c r="BQ79" s="241"/>
      <c r="BR79" s="241"/>
      <c r="BS79" s="241"/>
      <c r="BT79" s="244"/>
      <c r="BU79" s="244"/>
      <c r="BV79" s="244"/>
      <c r="BW79" s="241"/>
      <c r="BX79" s="241"/>
      <c r="BY79" s="241"/>
      <c r="BZ79" s="244"/>
      <c r="CA79" s="241"/>
      <c r="CB79" s="244"/>
      <c r="CC79" s="244"/>
      <c r="CD79" s="241"/>
      <c r="CE79" s="241"/>
      <c r="CF79" s="244"/>
      <c r="CG79" s="241"/>
      <c r="CH79" s="241"/>
      <c r="CI79" s="241"/>
      <c r="CJ79" s="241"/>
      <c r="CK79" s="241"/>
      <c r="CL79" s="241"/>
      <c r="CM79" s="241"/>
      <c r="CN79" s="241"/>
      <c r="CO79" s="241"/>
      <c r="CP79" s="241"/>
      <c r="CQ79" s="241"/>
      <c r="CR79" s="244"/>
      <c r="CS79" s="241"/>
      <c r="CT79" s="241"/>
      <c r="CV79" s="241"/>
      <c r="CW79" s="241"/>
      <c r="CZ79" s="241"/>
      <c r="DA79" s="241"/>
      <c r="DB79" s="241"/>
      <c r="DC79" s="241"/>
      <c r="DD79" s="241"/>
      <c r="DE79" s="241"/>
      <c r="DF79" s="241"/>
      <c r="DG79" s="241"/>
      <c r="DH79" s="241"/>
      <c r="DI79" s="241"/>
      <c r="DJ79" s="241"/>
      <c r="DK79" s="241"/>
      <c r="DL79" s="241"/>
      <c r="DM79" s="241"/>
      <c r="DN79" s="241"/>
      <c r="DO79" s="241"/>
      <c r="DP79" s="241"/>
      <c r="DQ79" s="241"/>
      <c r="DR79" s="241"/>
      <c r="DS79" s="241"/>
      <c r="DT79" s="241"/>
      <c r="DU79" s="241"/>
      <c r="DV79" s="241"/>
      <c r="DW79" s="241"/>
      <c r="DX79" s="241"/>
      <c r="DY79" s="241"/>
      <c r="DZ79" s="241"/>
      <c r="EA79" s="241"/>
      <c r="EB79" s="241"/>
      <c r="EC79" s="241"/>
      <c r="ED79" s="241"/>
      <c r="EE79" s="241"/>
      <c r="EF79" s="241"/>
      <c r="EG79" s="241"/>
      <c r="EH79" s="241"/>
    </row>
    <row r="80" spans="3:138" ht="12.75">
      <c r="C80" s="241"/>
      <c r="D80" s="244"/>
      <c r="E80" s="241"/>
      <c r="F80" s="244"/>
      <c r="G80" s="244"/>
      <c r="H80" s="244"/>
      <c r="I80" s="244"/>
      <c r="J80" s="244"/>
      <c r="K80" s="241"/>
      <c r="L80" s="244"/>
      <c r="M80" s="241"/>
      <c r="N80" s="244"/>
      <c r="O80" s="244"/>
      <c r="P80" s="244"/>
      <c r="Q80" s="241"/>
      <c r="R80" s="244"/>
      <c r="S80" s="241"/>
      <c r="T80" s="244"/>
      <c r="U80" s="241"/>
      <c r="V80" s="244"/>
      <c r="W80" s="241"/>
      <c r="X80" s="244"/>
      <c r="Y80" s="244"/>
      <c r="Z80" s="241"/>
      <c r="AA80" s="244"/>
      <c r="AB80" s="241"/>
      <c r="AC80" s="244"/>
      <c r="AD80" s="241"/>
      <c r="AE80" s="241"/>
      <c r="AF80" s="244"/>
      <c r="AG80" s="241"/>
      <c r="AH80" s="241"/>
      <c r="AI80" s="241"/>
      <c r="AJ80" s="241"/>
      <c r="AK80" s="244"/>
      <c r="AL80" s="241"/>
      <c r="AM80" s="244"/>
      <c r="AN80" s="241"/>
      <c r="AO80" s="244"/>
      <c r="AP80" s="241"/>
      <c r="AQ80" s="244"/>
      <c r="AR80" s="241"/>
      <c r="AS80" s="241"/>
      <c r="AT80" s="244"/>
      <c r="AU80" s="241"/>
      <c r="AV80" s="244"/>
      <c r="AW80" s="241"/>
      <c r="AX80" s="244"/>
      <c r="AY80" s="241"/>
      <c r="AZ80" s="241"/>
      <c r="BA80" s="244"/>
      <c r="BB80" s="241"/>
      <c r="BC80" s="241"/>
      <c r="BD80" s="244"/>
      <c r="BE80" s="241"/>
      <c r="BF80" s="244"/>
      <c r="BG80" s="241"/>
      <c r="BH80" s="244"/>
      <c r="BI80" s="241"/>
      <c r="BJ80" s="244"/>
      <c r="BK80" s="241"/>
      <c r="BL80" s="241"/>
      <c r="BM80" s="244"/>
      <c r="BN80" s="244"/>
      <c r="BO80" s="241"/>
      <c r="BP80" s="241"/>
      <c r="BQ80" s="241"/>
      <c r="BR80" s="241"/>
      <c r="BS80" s="241"/>
      <c r="BT80" s="244"/>
      <c r="BU80" s="244"/>
      <c r="BV80" s="244"/>
      <c r="BW80" s="241"/>
      <c r="BX80" s="241"/>
      <c r="BY80" s="241"/>
      <c r="BZ80" s="244"/>
      <c r="CA80" s="241"/>
      <c r="CB80" s="244"/>
      <c r="CC80" s="244"/>
      <c r="CD80" s="241"/>
      <c r="CE80" s="241"/>
      <c r="CF80" s="244"/>
      <c r="CG80" s="241"/>
      <c r="CH80" s="241"/>
      <c r="CI80" s="241"/>
      <c r="CJ80" s="241"/>
      <c r="CK80" s="241"/>
      <c r="CL80" s="241"/>
      <c r="CM80" s="241"/>
      <c r="CN80" s="241"/>
      <c r="CO80" s="241"/>
      <c r="CP80" s="241"/>
      <c r="CQ80" s="241"/>
      <c r="CR80" s="244"/>
      <c r="CS80" s="241"/>
      <c r="CT80" s="241"/>
      <c r="CV80" s="241"/>
      <c r="CW80" s="241"/>
      <c r="CZ80" s="241"/>
      <c r="DA80" s="241"/>
      <c r="DB80" s="241"/>
      <c r="DC80" s="241"/>
      <c r="DD80" s="241"/>
      <c r="DE80" s="241"/>
      <c r="DF80" s="241"/>
      <c r="DG80" s="241"/>
      <c r="DH80" s="241"/>
      <c r="DI80" s="241"/>
      <c r="DJ80" s="241"/>
      <c r="DK80" s="241"/>
      <c r="DL80" s="241"/>
      <c r="DM80" s="241"/>
      <c r="DN80" s="241"/>
      <c r="DO80" s="241"/>
      <c r="DP80" s="241"/>
      <c r="DQ80" s="241"/>
      <c r="DR80" s="241"/>
      <c r="DS80" s="241"/>
      <c r="DT80" s="241"/>
      <c r="DU80" s="241"/>
      <c r="DV80" s="241"/>
      <c r="DW80" s="241"/>
      <c r="DX80" s="241"/>
      <c r="DY80" s="241"/>
      <c r="DZ80" s="241"/>
      <c r="EA80" s="241"/>
      <c r="EB80" s="241"/>
      <c r="EC80" s="241"/>
      <c r="ED80" s="241"/>
      <c r="EE80" s="241"/>
      <c r="EF80" s="241"/>
      <c r="EG80" s="241"/>
      <c r="EH80" s="241"/>
    </row>
    <row r="81" spans="3:138" ht="12.75">
      <c r="C81" s="241"/>
      <c r="D81" s="244"/>
      <c r="E81" s="241"/>
      <c r="F81" s="244"/>
      <c r="G81" s="244"/>
      <c r="H81" s="244"/>
      <c r="I81" s="244"/>
      <c r="J81" s="244"/>
      <c r="K81" s="241"/>
      <c r="L81" s="244"/>
      <c r="M81" s="241"/>
      <c r="N81" s="244"/>
      <c r="O81" s="244"/>
      <c r="P81" s="244"/>
      <c r="Q81" s="241"/>
      <c r="R81" s="244"/>
      <c r="S81" s="241"/>
      <c r="T81" s="244"/>
      <c r="U81" s="241"/>
      <c r="V81" s="244"/>
      <c r="W81" s="241"/>
      <c r="X81" s="244"/>
      <c r="Y81" s="244"/>
      <c r="Z81" s="241"/>
      <c r="AA81" s="244"/>
      <c r="AB81" s="241"/>
      <c r="AC81" s="244"/>
      <c r="AD81" s="241"/>
      <c r="AE81" s="241"/>
      <c r="AF81" s="244"/>
      <c r="AG81" s="241"/>
      <c r="AH81" s="241"/>
      <c r="AI81" s="241"/>
      <c r="AJ81" s="241"/>
      <c r="AK81" s="244"/>
      <c r="AL81" s="241"/>
      <c r="AM81" s="244"/>
      <c r="AN81" s="241"/>
      <c r="AO81" s="244"/>
      <c r="AP81" s="241"/>
      <c r="AQ81" s="244"/>
      <c r="AR81" s="241"/>
      <c r="AS81" s="241"/>
      <c r="AT81" s="244"/>
      <c r="AU81" s="241"/>
      <c r="AV81" s="244"/>
      <c r="AW81" s="241"/>
      <c r="AX81" s="244"/>
      <c r="AY81" s="241"/>
      <c r="AZ81" s="241"/>
      <c r="BA81" s="244"/>
      <c r="BB81" s="241"/>
      <c r="BC81" s="241"/>
      <c r="BD81" s="244"/>
      <c r="BE81" s="241"/>
      <c r="BF81" s="244"/>
      <c r="BG81" s="241"/>
      <c r="BH81" s="244"/>
      <c r="BI81" s="241"/>
      <c r="BJ81" s="244"/>
      <c r="BK81" s="241"/>
      <c r="BL81" s="241"/>
      <c r="BM81" s="244"/>
      <c r="BN81" s="244"/>
      <c r="BO81" s="241"/>
      <c r="BP81" s="241"/>
      <c r="BQ81" s="241"/>
      <c r="BR81" s="241"/>
      <c r="BS81" s="241"/>
      <c r="BT81" s="244"/>
      <c r="BU81" s="244"/>
      <c r="BV81" s="244"/>
      <c r="BW81" s="241"/>
      <c r="BX81" s="241"/>
      <c r="BY81" s="241"/>
      <c r="BZ81" s="244"/>
      <c r="CA81" s="241"/>
      <c r="CB81" s="244"/>
      <c r="CC81" s="244"/>
      <c r="CD81" s="241"/>
      <c r="CE81" s="241"/>
      <c r="CF81" s="244"/>
      <c r="CG81" s="241"/>
      <c r="CH81" s="241"/>
      <c r="CI81" s="241"/>
      <c r="CJ81" s="241"/>
      <c r="CK81" s="241"/>
      <c r="CL81" s="241"/>
      <c r="CM81" s="241"/>
      <c r="CN81" s="241"/>
      <c r="CO81" s="241"/>
      <c r="CP81" s="241"/>
      <c r="CQ81" s="241"/>
      <c r="CR81" s="244"/>
      <c r="CS81" s="241"/>
      <c r="CT81" s="241"/>
      <c r="CV81" s="241"/>
      <c r="CW81" s="241"/>
      <c r="CZ81" s="241"/>
      <c r="DA81" s="241"/>
      <c r="DB81" s="241"/>
      <c r="DC81" s="241"/>
      <c r="DD81" s="241"/>
      <c r="DE81" s="241"/>
      <c r="DF81" s="241"/>
      <c r="DG81" s="241"/>
      <c r="DH81" s="241"/>
      <c r="DI81" s="241"/>
      <c r="DJ81" s="241"/>
      <c r="DK81" s="241"/>
      <c r="DL81" s="241"/>
      <c r="DM81" s="241"/>
      <c r="DN81" s="241"/>
      <c r="DO81" s="241"/>
      <c r="DP81" s="241"/>
      <c r="DQ81" s="241"/>
      <c r="DR81" s="241"/>
      <c r="DS81" s="241"/>
      <c r="DT81" s="241"/>
      <c r="DU81" s="241"/>
      <c r="DV81" s="241"/>
      <c r="DW81" s="241"/>
      <c r="DX81" s="241"/>
      <c r="DY81" s="241"/>
      <c r="DZ81" s="241"/>
      <c r="EA81" s="241"/>
      <c r="EB81" s="241"/>
      <c r="EC81" s="241"/>
      <c r="ED81" s="241"/>
      <c r="EE81" s="241"/>
      <c r="EF81" s="241"/>
      <c r="EG81" s="241"/>
      <c r="EH81" s="241"/>
    </row>
    <row r="82" spans="3:138" ht="12.75">
      <c r="C82" s="241"/>
      <c r="D82" s="244"/>
      <c r="E82" s="241"/>
      <c r="F82" s="244"/>
      <c r="G82" s="244"/>
      <c r="H82" s="244"/>
      <c r="I82" s="244"/>
      <c r="J82" s="244"/>
      <c r="K82" s="241"/>
      <c r="L82" s="244"/>
      <c r="M82" s="241"/>
      <c r="N82" s="244"/>
      <c r="O82" s="244"/>
      <c r="P82" s="244"/>
      <c r="Q82" s="241"/>
      <c r="R82" s="244"/>
      <c r="S82" s="241"/>
      <c r="T82" s="244"/>
      <c r="U82" s="241"/>
      <c r="V82" s="244"/>
      <c r="W82" s="241"/>
      <c r="X82" s="244"/>
      <c r="Y82" s="244"/>
      <c r="Z82" s="241"/>
      <c r="AA82" s="244"/>
      <c r="AB82" s="241"/>
      <c r="AC82" s="244"/>
      <c r="AD82" s="241"/>
      <c r="AE82" s="241"/>
      <c r="AF82" s="244"/>
      <c r="AG82" s="241"/>
      <c r="AH82" s="241"/>
      <c r="AI82" s="241"/>
      <c r="AJ82" s="241"/>
      <c r="AK82" s="244"/>
      <c r="AL82" s="241"/>
      <c r="AM82" s="244"/>
      <c r="AN82" s="241"/>
      <c r="AO82" s="244"/>
      <c r="AP82" s="241"/>
      <c r="AQ82" s="244"/>
      <c r="AR82" s="241"/>
      <c r="AS82" s="241"/>
      <c r="AT82" s="244"/>
      <c r="AU82" s="241"/>
      <c r="AV82" s="244"/>
      <c r="AW82" s="241"/>
      <c r="AX82" s="244"/>
      <c r="AY82" s="241"/>
      <c r="AZ82" s="241"/>
      <c r="BA82" s="244"/>
      <c r="BB82" s="241"/>
      <c r="BC82" s="241"/>
      <c r="BD82" s="244"/>
      <c r="BE82" s="241"/>
      <c r="BF82" s="244"/>
      <c r="BG82" s="241"/>
      <c r="BH82" s="244"/>
      <c r="BI82" s="241"/>
      <c r="BJ82" s="244"/>
      <c r="BK82" s="241"/>
      <c r="BL82" s="241"/>
      <c r="BM82" s="244"/>
      <c r="BN82" s="244"/>
      <c r="BO82" s="241"/>
      <c r="BP82" s="241"/>
      <c r="BQ82" s="241"/>
      <c r="BR82" s="241"/>
      <c r="BS82" s="241"/>
      <c r="BT82" s="244"/>
      <c r="BU82" s="244"/>
      <c r="BV82" s="244"/>
      <c r="BW82" s="241"/>
      <c r="BX82" s="241"/>
      <c r="BY82" s="241"/>
      <c r="BZ82" s="244"/>
      <c r="CA82" s="241"/>
      <c r="CB82" s="244"/>
      <c r="CC82" s="244"/>
      <c r="CD82" s="241"/>
      <c r="CE82" s="241"/>
      <c r="CF82" s="244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4"/>
      <c r="CS82" s="241"/>
      <c r="CT82" s="241"/>
      <c r="CV82" s="241"/>
      <c r="CW82" s="241"/>
      <c r="CZ82" s="241"/>
      <c r="DA82" s="241"/>
      <c r="DB82" s="241"/>
      <c r="DC82" s="241"/>
      <c r="DD82" s="241"/>
      <c r="DE82" s="241"/>
      <c r="DF82" s="241"/>
      <c r="DG82" s="241"/>
      <c r="DH82" s="241"/>
      <c r="DI82" s="241"/>
      <c r="DJ82" s="241"/>
      <c r="DK82" s="241"/>
      <c r="DL82" s="241"/>
      <c r="DM82" s="241"/>
      <c r="DN82" s="241"/>
      <c r="DO82" s="241"/>
      <c r="DP82" s="241"/>
      <c r="DQ82" s="241"/>
      <c r="DR82" s="241"/>
      <c r="DS82" s="241"/>
      <c r="DT82" s="241"/>
      <c r="DU82" s="241"/>
      <c r="DV82" s="241"/>
      <c r="DW82" s="241"/>
      <c r="DX82" s="241"/>
      <c r="DY82" s="241"/>
      <c r="DZ82" s="241"/>
      <c r="EA82" s="241"/>
      <c r="EB82" s="241"/>
      <c r="EC82" s="241"/>
      <c r="ED82" s="241"/>
      <c r="EE82" s="241"/>
      <c r="EF82" s="241"/>
      <c r="EG82" s="241"/>
      <c r="EH82" s="241"/>
    </row>
    <row r="83" spans="3:138" ht="12.75">
      <c r="C83" s="241"/>
      <c r="D83" s="244"/>
      <c r="E83" s="241"/>
      <c r="F83" s="244"/>
      <c r="G83" s="244"/>
      <c r="H83" s="244"/>
      <c r="I83" s="244"/>
      <c r="J83" s="244"/>
      <c r="K83" s="241"/>
      <c r="L83" s="244"/>
      <c r="M83" s="241"/>
      <c r="N83" s="244"/>
      <c r="O83" s="244"/>
      <c r="P83" s="244"/>
      <c r="Q83" s="241"/>
      <c r="R83" s="244"/>
      <c r="S83" s="241"/>
      <c r="T83" s="244"/>
      <c r="U83" s="241"/>
      <c r="V83" s="244"/>
      <c r="W83" s="241"/>
      <c r="X83" s="244"/>
      <c r="Y83" s="244"/>
      <c r="Z83" s="241"/>
      <c r="AA83" s="244"/>
      <c r="AB83" s="241"/>
      <c r="AC83" s="244"/>
      <c r="AD83" s="241"/>
      <c r="AE83" s="241"/>
      <c r="AF83" s="244"/>
      <c r="AG83" s="241"/>
      <c r="AH83" s="241"/>
      <c r="AI83" s="241"/>
      <c r="AJ83" s="241"/>
      <c r="AK83" s="244"/>
      <c r="AL83" s="241"/>
      <c r="AM83" s="244"/>
      <c r="AN83" s="241"/>
      <c r="AO83" s="244"/>
      <c r="AP83" s="241"/>
      <c r="AQ83" s="244"/>
      <c r="AR83" s="241"/>
      <c r="AS83" s="241"/>
      <c r="AT83" s="244"/>
      <c r="AU83" s="241"/>
      <c r="AV83" s="244"/>
      <c r="AW83" s="241"/>
      <c r="AX83" s="244"/>
      <c r="AY83" s="241"/>
      <c r="AZ83" s="241"/>
      <c r="BA83" s="244"/>
      <c r="BB83" s="241"/>
      <c r="BC83" s="241"/>
      <c r="BD83" s="244"/>
      <c r="BE83" s="241"/>
      <c r="BF83" s="244"/>
      <c r="BG83" s="241"/>
      <c r="BH83" s="244"/>
      <c r="BI83" s="241"/>
      <c r="BJ83" s="244"/>
      <c r="BK83" s="241"/>
      <c r="BL83" s="241"/>
      <c r="BM83" s="244"/>
      <c r="BN83" s="244"/>
      <c r="BO83" s="241"/>
      <c r="BP83" s="241"/>
      <c r="BQ83" s="241"/>
      <c r="BR83" s="241"/>
      <c r="BS83" s="241"/>
      <c r="BT83" s="244"/>
      <c r="BU83" s="244"/>
      <c r="BV83" s="244"/>
      <c r="BW83" s="241"/>
      <c r="BX83" s="241"/>
      <c r="BY83" s="241"/>
      <c r="BZ83" s="244"/>
      <c r="CA83" s="241"/>
      <c r="CB83" s="244"/>
      <c r="CC83" s="244"/>
      <c r="CD83" s="241"/>
      <c r="CE83" s="241"/>
      <c r="CF83" s="244"/>
      <c r="CG83" s="241"/>
      <c r="CH83" s="241"/>
      <c r="CI83" s="241"/>
      <c r="CJ83" s="241"/>
      <c r="CK83" s="241"/>
      <c r="CL83" s="241"/>
      <c r="CM83" s="241"/>
      <c r="CN83" s="241"/>
      <c r="CO83" s="241"/>
      <c r="CP83" s="241"/>
      <c r="CQ83" s="241"/>
      <c r="CR83" s="244"/>
      <c r="CS83" s="241"/>
      <c r="CT83" s="241"/>
      <c r="CV83" s="241"/>
      <c r="CW83" s="241"/>
      <c r="CZ83" s="241"/>
      <c r="DA83" s="241"/>
      <c r="DB83" s="241"/>
      <c r="DC83" s="241"/>
      <c r="DD83" s="241"/>
      <c r="DE83" s="241"/>
      <c r="DF83" s="241"/>
      <c r="DG83" s="241"/>
      <c r="DH83" s="241"/>
      <c r="DI83" s="241"/>
      <c r="DJ83" s="241"/>
      <c r="DK83" s="241"/>
      <c r="DL83" s="241"/>
      <c r="DM83" s="241"/>
      <c r="DN83" s="241"/>
      <c r="DO83" s="241"/>
      <c r="DP83" s="241"/>
      <c r="DQ83" s="241"/>
      <c r="DR83" s="241"/>
      <c r="DS83" s="241"/>
      <c r="DT83" s="241"/>
      <c r="DU83" s="241"/>
      <c r="DV83" s="241"/>
      <c r="DW83" s="241"/>
      <c r="DX83" s="241"/>
      <c r="DY83" s="241"/>
      <c r="DZ83" s="241"/>
      <c r="EA83" s="241"/>
      <c r="EB83" s="241"/>
      <c r="EC83" s="241"/>
      <c r="ED83" s="241"/>
      <c r="EE83" s="241"/>
      <c r="EF83" s="241"/>
      <c r="EG83" s="241"/>
      <c r="EH83" s="241"/>
    </row>
    <row r="84" spans="3:138" ht="12.75">
      <c r="C84" s="241"/>
      <c r="D84" s="244"/>
      <c r="E84" s="241"/>
      <c r="F84" s="244"/>
      <c r="G84" s="244"/>
      <c r="H84" s="244"/>
      <c r="I84" s="244"/>
      <c r="J84" s="244"/>
      <c r="K84" s="241"/>
      <c r="L84" s="244"/>
      <c r="M84" s="241"/>
      <c r="N84" s="244"/>
      <c r="O84" s="244"/>
      <c r="P84" s="244"/>
      <c r="Q84" s="241"/>
      <c r="R84" s="244"/>
      <c r="S84" s="241"/>
      <c r="T84" s="244"/>
      <c r="U84" s="241"/>
      <c r="V84" s="244"/>
      <c r="W84" s="241"/>
      <c r="X84" s="244"/>
      <c r="Y84" s="244"/>
      <c r="Z84" s="241"/>
      <c r="AA84" s="244"/>
      <c r="AB84" s="241"/>
      <c r="AC84" s="244"/>
      <c r="AD84" s="241"/>
      <c r="AE84" s="241"/>
      <c r="AF84" s="244"/>
      <c r="AG84" s="241"/>
      <c r="AH84" s="241"/>
      <c r="AI84" s="241"/>
      <c r="AJ84" s="241"/>
      <c r="AK84" s="244"/>
      <c r="AL84" s="241"/>
      <c r="AM84" s="244"/>
      <c r="AN84" s="241"/>
      <c r="AO84" s="244"/>
      <c r="AP84" s="241"/>
      <c r="AQ84" s="244"/>
      <c r="AR84" s="241"/>
      <c r="AS84" s="241"/>
      <c r="AT84" s="244"/>
      <c r="AU84" s="241"/>
      <c r="AV84" s="244"/>
      <c r="AW84" s="241"/>
      <c r="AX84" s="244"/>
      <c r="AY84" s="241"/>
      <c r="AZ84" s="241"/>
      <c r="BA84" s="244"/>
      <c r="BB84" s="241"/>
      <c r="BC84" s="241"/>
      <c r="BD84" s="244"/>
      <c r="BE84" s="241"/>
      <c r="BF84" s="244"/>
      <c r="BG84" s="241"/>
      <c r="BH84" s="244"/>
      <c r="BI84" s="241"/>
      <c r="BJ84" s="244"/>
      <c r="BK84" s="241"/>
      <c r="BL84" s="241"/>
      <c r="BM84" s="244"/>
      <c r="BN84" s="244"/>
      <c r="BO84" s="241"/>
      <c r="BP84" s="241"/>
      <c r="BQ84" s="241"/>
      <c r="BR84" s="241"/>
      <c r="BS84" s="241"/>
      <c r="BT84" s="244"/>
      <c r="BU84" s="244"/>
      <c r="BV84" s="244"/>
      <c r="BW84" s="241"/>
      <c r="BX84" s="241"/>
      <c r="BY84" s="241"/>
      <c r="BZ84" s="244"/>
      <c r="CA84" s="241"/>
      <c r="CB84" s="244"/>
      <c r="CC84" s="244"/>
      <c r="CD84" s="241"/>
      <c r="CE84" s="241"/>
      <c r="CF84" s="244"/>
      <c r="CG84" s="241"/>
      <c r="CH84" s="241"/>
      <c r="CI84" s="241"/>
      <c r="CJ84" s="241"/>
      <c r="CK84" s="241"/>
      <c r="CL84" s="241"/>
      <c r="CM84" s="241"/>
      <c r="CN84" s="241"/>
      <c r="CO84" s="241"/>
      <c r="CP84" s="241"/>
      <c r="CQ84" s="241"/>
      <c r="CR84" s="244"/>
      <c r="CS84" s="241"/>
      <c r="CT84" s="241"/>
      <c r="CV84" s="241"/>
      <c r="CW84" s="241"/>
      <c r="CZ84" s="241"/>
      <c r="DA84" s="241"/>
      <c r="DB84" s="241"/>
      <c r="DC84" s="241"/>
      <c r="DD84" s="241"/>
      <c r="DE84" s="241"/>
      <c r="DF84" s="241"/>
      <c r="DG84" s="241"/>
      <c r="DH84" s="241"/>
      <c r="DI84" s="241"/>
      <c r="DJ84" s="241"/>
      <c r="DK84" s="241"/>
      <c r="DL84" s="241"/>
      <c r="DM84" s="241"/>
      <c r="DN84" s="241"/>
      <c r="DO84" s="241"/>
      <c r="DP84" s="241"/>
      <c r="DQ84" s="241"/>
      <c r="DR84" s="241"/>
      <c r="DS84" s="241"/>
      <c r="DT84" s="241"/>
      <c r="DU84" s="241"/>
      <c r="DV84" s="241"/>
      <c r="DW84" s="241"/>
      <c r="DX84" s="241"/>
      <c r="DY84" s="241"/>
      <c r="DZ84" s="241"/>
      <c r="EA84" s="241"/>
      <c r="EB84" s="241"/>
      <c r="EC84" s="241"/>
      <c r="ED84" s="241"/>
      <c r="EE84" s="241"/>
      <c r="EF84" s="241"/>
      <c r="EG84" s="241"/>
      <c r="EH84" s="241"/>
    </row>
    <row r="85" spans="3:138" ht="12.75">
      <c r="C85" s="241"/>
      <c r="D85" s="244"/>
      <c r="E85" s="241"/>
      <c r="F85" s="244"/>
      <c r="G85" s="244"/>
      <c r="H85" s="244"/>
      <c r="I85" s="244"/>
      <c r="J85" s="244"/>
      <c r="K85" s="241"/>
      <c r="L85" s="244"/>
      <c r="M85" s="241"/>
      <c r="N85" s="244"/>
      <c r="O85" s="244"/>
      <c r="P85" s="244"/>
      <c r="Q85" s="241"/>
      <c r="R85" s="244"/>
      <c r="S85" s="241"/>
      <c r="T85" s="244"/>
      <c r="U85" s="241"/>
      <c r="V85" s="244"/>
      <c r="W85" s="241"/>
      <c r="X85" s="244"/>
      <c r="Y85" s="244"/>
      <c r="Z85" s="241"/>
      <c r="AA85" s="244"/>
      <c r="AB85" s="241"/>
      <c r="AC85" s="244"/>
      <c r="AD85" s="241"/>
      <c r="AE85" s="241"/>
      <c r="AF85" s="244"/>
      <c r="AG85" s="241"/>
      <c r="AH85" s="241"/>
      <c r="AI85" s="241"/>
      <c r="AJ85" s="241"/>
      <c r="AK85" s="244"/>
      <c r="AL85" s="241"/>
      <c r="AM85" s="244"/>
      <c r="AN85" s="241"/>
      <c r="AO85" s="244"/>
      <c r="AP85" s="241"/>
      <c r="AQ85" s="244"/>
      <c r="AR85" s="241"/>
      <c r="AS85" s="241"/>
      <c r="AT85" s="244"/>
      <c r="AU85" s="241"/>
      <c r="AV85" s="244"/>
      <c r="AW85" s="241"/>
      <c r="AX85" s="244"/>
      <c r="AY85" s="241"/>
      <c r="AZ85" s="241"/>
      <c r="BA85" s="244"/>
      <c r="BB85" s="241"/>
      <c r="BC85" s="241"/>
      <c r="BD85" s="244"/>
      <c r="BE85" s="241"/>
      <c r="BF85" s="244"/>
      <c r="BG85" s="241"/>
      <c r="BH85" s="244"/>
      <c r="BI85" s="241"/>
      <c r="BJ85" s="244"/>
      <c r="BK85" s="241"/>
      <c r="BL85" s="241"/>
      <c r="BM85" s="244"/>
      <c r="BN85" s="244"/>
      <c r="BO85" s="241"/>
      <c r="BP85" s="241"/>
      <c r="BQ85" s="241"/>
      <c r="BR85" s="241"/>
      <c r="BS85" s="241"/>
      <c r="BT85" s="244"/>
      <c r="BU85" s="244"/>
      <c r="BV85" s="244"/>
      <c r="BW85" s="241"/>
      <c r="BX85" s="241"/>
      <c r="BY85" s="241"/>
      <c r="BZ85" s="244"/>
      <c r="CA85" s="241"/>
      <c r="CB85" s="244"/>
      <c r="CC85" s="244"/>
      <c r="CD85" s="241"/>
      <c r="CE85" s="241"/>
      <c r="CF85" s="244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  <c r="CR85" s="244"/>
      <c r="CS85" s="241"/>
      <c r="CT85" s="241"/>
      <c r="CV85" s="241"/>
      <c r="CW85" s="241"/>
      <c r="CZ85" s="241"/>
      <c r="DA85" s="241"/>
      <c r="DB85" s="241"/>
      <c r="DC85" s="241"/>
      <c r="DD85" s="241"/>
      <c r="DE85" s="241"/>
      <c r="DF85" s="241"/>
      <c r="DG85" s="241"/>
      <c r="DH85" s="241"/>
      <c r="DI85" s="241"/>
      <c r="DJ85" s="241"/>
      <c r="DK85" s="241"/>
      <c r="DL85" s="241"/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/>
      <c r="EB85" s="241"/>
      <c r="EC85" s="241"/>
      <c r="ED85" s="241"/>
      <c r="EE85" s="241"/>
      <c r="EF85" s="241"/>
      <c r="EG85" s="241"/>
      <c r="EH85" s="241"/>
    </row>
    <row r="86" spans="3:138" ht="12.75">
      <c r="C86" s="241"/>
      <c r="D86" s="244"/>
      <c r="E86" s="241"/>
      <c r="F86" s="244"/>
      <c r="G86" s="244"/>
      <c r="H86" s="244"/>
      <c r="I86" s="244"/>
      <c r="J86" s="244"/>
      <c r="K86" s="241"/>
      <c r="L86" s="244"/>
      <c r="M86" s="241"/>
      <c r="N86" s="244"/>
      <c r="O86" s="244"/>
      <c r="P86" s="244"/>
      <c r="Q86" s="241"/>
      <c r="R86" s="244"/>
      <c r="S86" s="241"/>
      <c r="T86" s="244"/>
      <c r="U86" s="241"/>
      <c r="V86" s="244"/>
      <c r="W86" s="241"/>
      <c r="X86" s="244"/>
      <c r="Y86" s="244"/>
      <c r="Z86" s="241"/>
      <c r="AA86" s="244"/>
      <c r="AB86" s="241"/>
      <c r="AC86" s="244"/>
      <c r="AD86" s="241"/>
      <c r="AE86" s="241"/>
      <c r="AF86" s="244"/>
      <c r="AG86" s="241"/>
      <c r="AH86" s="241"/>
      <c r="AI86" s="241"/>
      <c r="AJ86" s="241"/>
      <c r="AK86" s="244"/>
      <c r="AL86" s="241"/>
      <c r="AM86" s="244"/>
      <c r="AN86" s="241"/>
      <c r="AO86" s="244"/>
      <c r="AP86" s="241"/>
      <c r="AQ86" s="244"/>
      <c r="AR86" s="241"/>
      <c r="AS86" s="241"/>
      <c r="AT86" s="244"/>
      <c r="AU86" s="241"/>
      <c r="AV86" s="244"/>
      <c r="AW86" s="241"/>
      <c r="AX86" s="244"/>
      <c r="AY86" s="241"/>
      <c r="AZ86" s="241"/>
      <c r="BA86" s="244"/>
      <c r="BB86" s="241"/>
      <c r="BC86" s="241"/>
      <c r="BD86" s="244"/>
      <c r="BE86" s="241"/>
      <c r="BF86" s="244"/>
      <c r="BG86" s="241"/>
      <c r="BH86" s="244"/>
      <c r="BI86" s="241"/>
      <c r="BJ86" s="244"/>
      <c r="BK86" s="241"/>
      <c r="BL86" s="241"/>
      <c r="BM86" s="244"/>
      <c r="BN86" s="244"/>
      <c r="BO86" s="241"/>
      <c r="BP86" s="241"/>
      <c r="BQ86" s="241"/>
      <c r="BR86" s="241"/>
      <c r="BS86" s="241"/>
      <c r="BT86" s="244"/>
      <c r="BU86" s="244"/>
      <c r="BV86" s="244"/>
      <c r="BW86" s="241"/>
      <c r="BX86" s="241"/>
      <c r="BY86" s="241"/>
      <c r="BZ86" s="244"/>
      <c r="CA86" s="241"/>
      <c r="CB86" s="244"/>
      <c r="CC86" s="244"/>
      <c r="CD86" s="241"/>
      <c r="CE86" s="241"/>
      <c r="CF86" s="244"/>
      <c r="CG86" s="241"/>
      <c r="CH86" s="241"/>
      <c r="CI86" s="241"/>
      <c r="CJ86" s="241"/>
      <c r="CK86" s="241"/>
      <c r="CL86" s="241"/>
      <c r="CM86" s="241"/>
      <c r="CN86" s="241"/>
      <c r="CO86" s="241"/>
      <c r="CP86" s="241"/>
      <c r="CQ86" s="241"/>
      <c r="CR86" s="244"/>
      <c r="CS86" s="241"/>
      <c r="CT86" s="241"/>
      <c r="CV86" s="241"/>
      <c r="CW86" s="241"/>
      <c r="CZ86" s="241"/>
      <c r="DA86" s="241"/>
      <c r="DB86" s="241"/>
      <c r="DC86" s="241"/>
      <c r="DD86" s="241"/>
      <c r="DE86" s="241"/>
      <c r="DF86" s="241"/>
      <c r="DG86" s="241"/>
      <c r="DH86" s="241"/>
      <c r="DI86" s="241"/>
      <c r="DJ86" s="241"/>
      <c r="DK86" s="241"/>
      <c r="DL86" s="241"/>
      <c r="DM86" s="241"/>
      <c r="DN86" s="241"/>
      <c r="DO86" s="241"/>
      <c r="DP86" s="241"/>
      <c r="DQ86" s="241"/>
      <c r="DR86" s="241"/>
      <c r="DS86" s="241"/>
      <c r="DT86" s="241"/>
      <c r="DU86" s="241"/>
      <c r="DV86" s="241"/>
      <c r="DW86" s="241"/>
      <c r="DX86" s="241"/>
      <c r="DY86" s="241"/>
      <c r="DZ86" s="241"/>
      <c r="EA86" s="241"/>
      <c r="EB86" s="241"/>
      <c r="EC86" s="241"/>
      <c r="ED86" s="241"/>
      <c r="EE86" s="241"/>
      <c r="EF86" s="241"/>
      <c r="EG86" s="241"/>
      <c r="EH86" s="241"/>
    </row>
    <row r="87" spans="3:138" ht="12.75">
      <c r="C87" s="241"/>
      <c r="D87" s="244"/>
      <c r="E87" s="241"/>
      <c r="F87" s="244"/>
      <c r="G87" s="244"/>
      <c r="H87" s="244"/>
      <c r="I87" s="244"/>
      <c r="J87" s="244"/>
      <c r="K87" s="241"/>
      <c r="L87" s="244"/>
      <c r="M87" s="241"/>
      <c r="N87" s="244"/>
      <c r="O87" s="244"/>
      <c r="P87" s="244"/>
      <c r="Q87" s="241"/>
      <c r="R87" s="244"/>
      <c r="S87" s="241"/>
      <c r="T87" s="244"/>
      <c r="U87" s="241"/>
      <c r="V87" s="244"/>
      <c r="W87" s="241"/>
      <c r="X87" s="244"/>
      <c r="Y87" s="244"/>
      <c r="Z87" s="241"/>
      <c r="AA87" s="244"/>
      <c r="AB87" s="241"/>
      <c r="AC87" s="244"/>
      <c r="AD87" s="241"/>
      <c r="AE87" s="241"/>
      <c r="AF87" s="244"/>
      <c r="AG87" s="241"/>
      <c r="AH87" s="241"/>
      <c r="AI87" s="241"/>
      <c r="AJ87" s="241"/>
      <c r="AK87" s="244"/>
      <c r="AL87" s="241"/>
      <c r="AM87" s="244"/>
      <c r="AN87" s="241"/>
      <c r="AO87" s="244"/>
      <c r="AP87" s="241"/>
      <c r="AQ87" s="244"/>
      <c r="AR87" s="241"/>
      <c r="AS87" s="241"/>
      <c r="AT87" s="244"/>
      <c r="AU87" s="241"/>
      <c r="AV87" s="244"/>
      <c r="AW87" s="241"/>
      <c r="AX87" s="244"/>
      <c r="AY87" s="241"/>
      <c r="AZ87" s="241"/>
      <c r="BA87" s="244"/>
      <c r="BB87" s="241"/>
      <c r="BC87" s="241"/>
      <c r="BD87" s="244"/>
      <c r="BE87" s="241"/>
      <c r="BF87" s="244"/>
      <c r="BG87" s="241"/>
      <c r="BH87" s="244"/>
      <c r="BI87" s="241"/>
      <c r="BJ87" s="244"/>
      <c r="BK87" s="241"/>
      <c r="BL87" s="241"/>
      <c r="BM87" s="244"/>
      <c r="BN87" s="244"/>
      <c r="BO87" s="241"/>
      <c r="BP87" s="241"/>
      <c r="BQ87" s="241"/>
      <c r="BR87" s="241"/>
      <c r="BS87" s="241"/>
      <c r="BT87" s="244"/>
      <c r="BU87" s="244"/>
      <c r="BV87" s="244"/>
      <c r="BW87" s="241"/>
      <c r="BX87" s="241"/>
      <c r="BY87" s="241"/>
      <c r="BZ87" s="244"/>
      <c r="CA87" s="241"/>
      <c r="CB87" s="244"/>
      <c r="CC87" s="244"/>
      <c r="CD87" s="241"/>
      <c r="CE87" s="241"/>
      <c r="CF87" s="244"/>
      <c r="CG87" s="241"/>
      <c r="CH87" s="241"/>
      <c r="CI87" s="241"/>
      <c r="CJ87" s="241"/>
      <c r="CK87" s="241"/>
      <c r="CL87" s="241"/>
      <c r="CM87" s="241"/>
      <c r="CN87" s="241"/>
      <c r="CO87" s="241"/>
      <c r="CP87" s="241"/>
      <c r="CQ87" s="241"/>
      <c r="CR87" s="244"/>
      <c r="CS87" s="241"/>
      <c r="CT87" s="241"/>
      <c r="CV87" s="241"/>
      <c r="CW87" s="241"/>
      <c r="CZ87" s="241"/>
      <c r="DA87" s="241"/>
      <c r="DB87" s="241"/>
      <c r="DC87" s="241"/>
      <c r="DD87" s="241"/>
      <c r="DE87" s="241"/>
      <c r="DF87" s="241"/>
      <c r="DG87" s="241"/>
      <c r="DH87" s="241"/>
      <c r="DI87" s="241"/>
      <c r="DJ87" s="241"/>
      <c r="DK87" s="241"/>
      <c r="DL87" s="241"/>
      <c r="DM87" s="241"/>
      <c r="DN87" s="241"/>
      <c r="DO87" s="241"/>
      <c r="DP87" s="241"/>
      <c r="DQ87" s="241"/>
      <c r="DR87" s="241"/>
      <c r="DS87" s="241"/>
      <c r="DT87" s="241"/>
      <c r="DU87" s="241"/>
      <c r="DV87" s="241"/>
      <c r="DW87" s="241"/>
      <c r="DX87" s="241"/>
      <c r="DY87" s="241"/>
      <c r="DZ87" s="241"/>
      <c r="EA87" s="241"/>
      <c r="EB87" s="241"/>
      <c r="EC87" s="241"/>
      <c r="ED87" s="241"/>
      <c r="EE87" s="241"/>
      <c r="EF87" s="241"/>
      <c r="EG87" s="241"/>
      <c r="EH87" s="241"/>
    </row>
    <row r="88" spans="3:138" ht="12.75">
      <c r="C88" s="241"/>
      <c r="D88" s="244"/>
      <c r="E88" s="241"/>
      <c r="F88" s="244"/>
      <c r="G88" s="244"/>
      <c r="H88" s="244"/>
      <c r="I88" s="244"/>
      <c r="J88" s="244"/>
      <c r="K88" s="241"/>
      <c r="L88" s="244"/>
      <c r="M88" s="241"/>
      <c r="N88" s="244"/>
      <c r="O88" s="244"/>
      <c r="P88" s="244"/>
      <c r="Q88" s="241"/>
      <c r="R88" s="244"/>
      <c r="S88" s="241"/>
      <c r="T88" s="244"/>
      <c r="U88" s="241"/>
      <c r="V88" s="244"/>
      <c r="W88" s="241"/>
      <c r="X88" s="244"/>
      <c r="Y88" s="244"/>
      <c r="Z88" s="241"/>
      <c r="AA88" s="244"/>
      <c r="AB88" s="241"/>
      <c r="AC88" s="244"/>
      <c r="AD88" s="241"/>
      <c r="AE88" s="241"/>
      <c r="AF88" s="244"/>
      <c r="AG88" s="241"/>
      <c r="AH88" s="241"/>
      <c r="AI88" s="241"/>
      <c r="AJ88" s="241"/>
      <c r="AK88" s="244"/>
      <c r="AL88" s="241"/>
      <c r="AM88" s="244"/>
      <c r="AN88" s="241"/>
      <c r="AO88" s="244"/>
      <c r="AP88" s="241"/>
      <c r="AQ88" s="244"/>
      <c r="AR88" s="241"/>
      <c r="AS88" s="241"/>
      <c r="AT88" s="244"/>
      <c r="AU88" s="241"/>
      <c r="AV88" s="244"/>
      <c r="AW88" s="241"/>
      <c r="AX88" s="244"/>
      <c r="AY88" s="241"/>
      <c r="AZ88" s="241"/>
      <c r="BA88" s="244"/>
      <c r="BB88" s="241"/>
      <c r="BC88" s="241"/>
      <c r="BD88" s="244"/>
      <c r="BE88" s="241"/>
      <c r="BF88" s="244"/>
      <c r="BG88" s="241"/>
      <c r="BH88" s="244"/>
      <c r="BI88" s="241"/>
      <c r="BJ88" s="244"/>
      <c r="BK88" s="241"/>
      <c r="BL88" s="241"/>
      <c r="BM88" s="244"/>
      <c r="BN88" s="244"/>
      <c r="BO88" s="241"/>
      <c r="BP88" s="241"/>
      <c r="BQ88" s="241"/>
      <c r="BR88" s="241"/>
      <c r="BS88" s="241"/>
      <c r="BT88" s="244"/>
      <c r="BU88" s="244"/>
      <c r="BV88" s="244"/>
      <c r="BW88" s="241"/>
      <c r="BX88" s="241"/>
      <c r="BY88" s="241"/>
      <c r="BZ88" s="244"/>
      <c r="CA88" s="241"/>
      <c r="CB88" s="244"/>
      <c r="CC88" s="244"/>
      <c r="CD88" s="241"/>
      <c r="CE88" s="241"/>
      <c r="CF88" s="244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4"/>
      <c r="CS88" s="241"/>
      <c r="CT88" s="241"/>
      <c r="CV88" s="241"/>
      <c r="CW88" s="241"/>
      <c r="CZ88" s="241"/>
      <c r="DA88" s="241"/>
      <c r="DB88" s="241"/>
      <c r="DC88" s="241"/>
      <c r="DD88" s="241"/>
      <c r="DE88" s="241"/>
      <c r="DF88" s="241"/>
      <c r="DG88" s="241"/>
      <c r="DH88" s="241"/>
      <c r="DI88" s="241"/>
      <c r="DJ88" s="241"/>
      <c r="DK88" s="241"/>
      <c r="DL88" s="241"/>
      <c r="DM88" s="241"/>
      <c r="DN88" s="241"/>
      <c r="DO88" s="241"/>
      <c r="DP88" s="241"/>
      <c r="DQ88" s="241"/>
      <c r="DR88" s="241"/>
      <c r="DS88" s="241"/>
      <c r="DT88" s="241"/>
      <c r="DU88" s="241"/>
      <c r="DV88" s="241"/>
      <c r="DW88" s="241"/>
      <c r="DX88" s="241"/>
      <c r="DY88" s="241"/>
      <c r="DZ88" s="241"/>
      <c r="EA88" s="241"/>
      <c r="EB88" s="241"/>
      <c r="EC88" s="241"/>
      <c r="ED88" s="241"/>
      <c r="EE88" s="241"/>
      <c r="EF88" s="241"/>
      <c r="EG88" s="241"/>
      <c r="EH88" s="241"/>
    </row>
  </sheetData>
  <printOptions/>
  <pageMargins left="0.6692913385826772" right="0.62" top="1.14" bottom="0.81" header="0.53" footer="0.5118110236220472"/>
  <pageSetup firstPageNumber="59" useFirstPageNumber="1" horizontalDpi="600" verticalDpi="600" orientation="portrait" paperSize="9" r:id="rId1"/>
  <headerFooter alignWithMargins="0">
    <oddHeader>&amp;C&amp;"Times New Roman,Bold"&amp;14 3.4. FINANCIAL RATIOS 2000</oddHeader>
    <oddFooter>&amp;R&amp;"Times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Y35"/>
  <sheetViews>
    <sheetView showGridLines="0" workbookViewId="0" topLeftCell="A1">
      <pane xSplit="2" ySplit="5" topLeftCell="D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" sqref="F9"/>
    </sheetView>
  </sheetViews>
  <sheetFormatPr defaultColWidth="9.00390625" defaultRowHeight="12.75"/>
  <cols>
    <col min="1" max="1" width="2.875" style="313" customWidth="1"/>
    <col min="2" max="2" width="32.875" style="313" customWidth="1"/>
    <col min="3" max="8" width="9.50390625" style="210" customWidth="1"/>
    <col min="9" max="11" width="9.00390625" style="210" customWidth="1"/>
    <col min="12" max="12" width="9.50390625" style="210" customWidth="1"/>
    <col min="13" max="31" width="9.00390625" style="210" customWidth="1"/>
    <col min="32" max="32" width="10.375" style="210" customWidth="1"/>
    <col min="33" max="39" width="9.00390625" style="210" customWidth="1"/>
    <col min="40" max="40" width="10.625" style="210" customWidth="1"/>
    <col min="41" max="41" width="9.375" style="210" customWidth="1"/>
    <col min="42" max="44" width="9.00390625" style="210" customWidth="1"/>
    <col min="45" max="45" width="9.50390625" style="210" customWidth="1"/>
    <col min="46" max="46" width="10.75390625" style="210" customWidth="1"/>
    <col min="47" max="48" width="9.00390625" style="210" customWidth="1"/>
    <col min="49" max="49" width="9.75390625" style="210" customWidth="1"/>
    <col min="50" max="53" width="9.00390625" style="210" customWidth="1"/>
    <col min="54" max="54" width="9.50390625" style="210" customWidth="1"/>
    <col min="55" max="57" width="10.25390625" style="210" customWidth="1"/>
    <col min="58" max="60" width="9.00390625" style="210" customWidth="1"/>
    <col min="61" max="61" width="9.50390625" style="210" customWidth="1"/>
    <col min="62" max="64" width="9.00390625" style="210" customWidth="1"/>
    <col min="65" max="65" width="4.625" style="210" customWidth="1"/>
    <col min="66" max="66" width="11.375" style="210" customWidth="1"/>
    <col min="67" max="67" width="10.25390625" style="210" customWidth="1"/>
    <col min="68" max="68" width="9.875" style="210" customWidth="1"/>
    <col min="69" max="16384" width="9.00390625" style="210" customWidth="1"/>
  </cols>
  <sheetData>
    <row r="1" spans="1:73" ht="12.75" customHeight="1">
      <c r="A1" s="301"/>
      <c r="B1" s="301"/>
      <c r="C1" s="207" t="s">
        <v>0</v>
      </c>
      <c r="D1" s="207" t="s">
        <v>0</v>
      </c>
      <c r="E1" s="207" t="s">
        <v>0</v>
      </c>
      <c r="F1" s="207" t="s">
        <v>0</v>
      </c>
      <c r="G1" s="207" t="s">
        <v>0</v>
      </c>
      <c r="H1" s="207" t="s">
        <v>0</v>
      </c>
      <c r="I1" s="207" t="s">
        <v>0</v>
      </c>
      <c r="J1" s="207" t="s">
        <v>1</v>
      </c>
      <c r="K1" s="207" t="s">
        <v>0</v>
      </c>
      <c r="L1" s="207" t="s">
        <v>0</v>
      </c>
      <c r="M1" s="207" t="s">
        <v>0</v>
      </c>
      <c r="N1" s="207" t="s">
        <v>2</v>
      </c>
      <c r="O1" s="207" t="s">
        <v>0</v>
      </c>
      <c r="P1" s="207" t="s">
        <v>0</v>
      </c>
      <c r="Q1" s="207" t="s">
        <v>3</v>
      </c>
      <c r="R1" s="207" t="s">
        <v>0</v>
      </c>
      <c r="S1" s="207" t="s">
        <v>0</v>
      </c>
      <c r="T1" s="207" t="s">
        <v>0</v>
      </c>
      <c r="U1" s="207" t="s">
        <v>0</v>
      </c>
      <c r="V1" s="207" t="s">
        <v>0</v>
      </c>
      <c r="W1" s="209" t="s">
        <v>0</v>
      </c>
      <c r="X1" s="207" t="s">
        <v>0</v>
      </c>
      <c r="Y1" s="207" t="s">
        <v>5</v>
      </c>
      <c r="Z1" s="207" t="s">
        <v>7</v>
      </c>
      <c r="AA1" s="207" t="s">
        <v>0</v>
      </c>
      <c r="AB1" s="207" t="s">
        <v>0</v>
      </c>
      <c r="AC1" s="207" t="s">
        <v>265</v>
      </c>
      <c r="AD1" s="207" t="s">
        <v>6</v>
      </c>
      <c r="AE1" s="207" t="s">
        <v>0</v>
      </c>
      <c r="AF1" s="207" t="s">
        <v>0</v>
      </c>
      <c r="AG1" s="207" t="s">
        <v>0</v>
      </c>
      <c r="AH1" s="207" t="s">
        <v>8</v>
      </c>
      <c r="AI1" s="207" t="s">
        <v>0</v>
      </c>
      <c r="AJ1" s="207" t="s">
        <v>6</v>
      </c>
      <c r="AK1" s="207" t="s">
        <v>0</v>
      </c>
      <c r="AL1" s="207" t="s">
        <v>0</v>
      </c>
      <c r="AM1" s="207" t="s">
        <v>0</v>
      </c>
      <c r="AN1" s="207" t="s">
        <v>4</v>
      </c>
      <c r="AO1" s="207" t="s">
        <v>0</v>
      </c>
      <c r="AP1" s="207" t="s">
        <v>0</v>
      </c>
      <c r="AQ1" s="207" t="s">
        <v>0</v>
      </c>
      <c r="AR1" s="207" t="s">
        <v>0</v>
      </c>
      <c r="AS1" s="207" t="s">
        <v>0</v>
      </c>
      <c r="AT1" s="207" t="s">
        <v>4</v>
      </c>
      <c r="AU1" s="207" t="s">
        <v>0</v>
      </c>
      <c r="AV1" s="207" t="s">
        <v>50</v>
      </c>
      <c r="AW1" s="207" t="s">
        <v>4</v>
      </c>
      <c r="AX1" s="207" t="s">
        <v>0</v>
      </c>
      <c r="AY1" s="207" t="s">
        <v>0</v>
      </c>
      <c r="AZ1" s="207" t="s">
        <v>0</v>
      </c>
      <c r="BA1" s="207" t="s">
        <v>0</v>
      </c>
      <c r="BB1" s="207" t="s">
        <v>4</v>
      </c>
      <c r="BC1" s="207" t="s">
        <v>4</v>
      </c>
      <c r="BD1" s="207" t="s">
        <v>4</v>
      </c>
      <c r="BE1" s="207" t="s">
        <v>0</v>
      </c>
      <c r="BF1" s="207" t="s">
        <v>6</v>
      </c>
      <c r="BG1" s="207" t="s">
        <v>0</v>
      </c>
      <c r="BH1" s="207" t="s">
        <v>0</v>
      </c>
      <c r="BI1" s="207" t="s">
        <v>4</v>
      </c>
      <c r="BJ1" s="207" t="s">
        <v>9</v>
      </c>
      <c r="BK1" s="207" t="s">
        <v>0</v>
      </c>
      <c r="BL1" s="207" t="s">
        <v>0</v>
      </c>
      <c r="BN1" s="209"/>
      <c r="BO1" s="190" t="s">
        <v>567</v>
      </c>
      <c r="BP1" s="190" t="s">
        <v>568</v>
      </c>
      <c r="BR1" s="190"/>
      <c r="BS1" s="190"/>
      <c r="BT1" s="190" t="s">
        <v>567</v>
      </c>
      <c r="BU1" s="190" t="s">
        <v>568</v>
      </c>
    </row>
    <row r="2" spans="1:73" ht="12.75">
      <c r="A2" s="301"/>
      <c r="B2" s="301" t="s">
        <v>397</v>
      </c>
      <c r="C2" s="207" t="s">
        <v>12</v>
      </c>
      <c r="D2" s="207" t="s">
        <v>339</v>
      </c>
      <c r="E2" s="207" t="s">
        <v>339</v>
      </c>
      <c r="F2" s="207" t="s">
        <v>339</v>
      </c>
      <c r="G2" s="207" t="s">
        <v>339</v>
      </c>
      <c r="H2" s="207" t="s">
        <v>339</v>
      </c>
      <c r="I2" s="207" t="s">
        <v>16</v>
      </c>
      <c r="J2" s="207" t="s">
        <v>15</v>
      </c>
      <c r="K2" s="207" t="s">
        <v>13</v>
      </c>
      <c r="L2" s="207" t="s">
        <v>13</v>
      </c>
      <c r="M2" s="207" t="s">
        <v>17</v>
      </c>
      <c r="N2" s="207" t="s">
        <v>15</v>
      </c>
      <c r="O2" s="207" t="s">
        <v>273</v>
      </c>
      <c r="P2" s="207" t="s">
        <v>234</v>
      </c>
      <c r="Q2" s="207" t="s">
        <v>15</v>
      </c>
      <c r="R2" s="207" t="s">
        <v>19</v>
      </c>
      <c r="S2" s="207" t="s">
        <v>20</v>
      </c>
      <c r="T2" s="207" t="s">
        <v>22</v>
      </c>
      <c r="U2" s="207" t="s">
        <v>18</v>
      </c>
      <c r="V2" s="207" t="s">
        <v>21</v>
      </c>
      <c r="W2" s="209" t="s">
        <v>284</v>
      </c>
      <c r="X2" s="207" t="s">
        <v>23</v>
      </c>
      <c r="Y2" s="207" t="s">
        <v>15</v>
      </c>
      <c r="Z2" s="207" t="s">
        <v>30</v>
      </c>
      <c r="AA2" s="207" t="s">
        <v>25</v>
      </c>
      <c r="AB2" s="207" t="s">
        <v>24</v>
      </c>
      <c r="AC2" s="207" t="s">
        <v>46</v>
      </c>
      <c r="AD2" s="207" t="s">
        <v>29</v>
      </c>
      <c r="AE2" s="207" t="s">
        <v>14</v>
      </c>
      <c r="AF2" s="207" t="s">
        <v>275</v>
      </c>
      <c r="AG2" s="207" t="s">
        <v>71</v>
      </c>
      <c r="AH2" s="207" t="s">
        <v>15</v>
      </c>
      <c r="AI2" s="207" t="s">
        <v>26</v>
      </c>
      <c r="AJ2" s="207" t="s">
        <v>29</v>
      </c>
      <c r="AK2" s="207" t="s">
        <v>27</v>
      </c>
      <c r="AL2" s="207" t="s">
        <v>14</v>
      </c>
      <c r="AM2" s="207" t="s">
        <v>28</v>
      </c>
      <c r="AN2" s="207" t="s">
        <v>14</v>
      </c>
      <c r="AO2" s="207" t="s">
        <v>31</v>
      </c>
      <c r="AP2" s="207" t="s">
        <v>32</v>
      </c>
      <c r="AQ2" s="207" t="s">
        <v>33</v>
      </c>
      <c r="AR2" s="207" t="s">
        <v>14</v>
      </c>
      <c r="AS2" s="207" t="s">
        <v>14</v>
      </c>
      <c r="AT2" s="207" t="s">
        <v>34</v>
      </c>
      <c r="AU2" s="207" t="s">
        <v>36</v>
      </c>
      <c r="AV2" s="207" t="s">
        <v>15</v>
      </c>
      <c r="AW2" s="207" t="s">
        <v>37</v>
      </c>
      <c r="AX2" s="207" t="s">
        <v>35</v>
      </c>
      <c r="AY2" s="207" t="s">
        <v>39</v>
      </c>
      <c r="AZ2" s="207" t="s">
        <v>38</v>
      </c>
      <c r="BA2" s="207" t="s">
        <v>41</v>
      </c>
      <c r="BB2" s="207" t="s">
        <v>40</v>
      </c>
      <c r="BC2" s="207" t="s">
        <v>42</v>
      </c>
      <c r="BD2" s="207" t="s">
        <v>260</v>
      </c>
      <c r="BE2" s="207" t="s">
        <v>14</v>
      </c>
      <c r="BF2" s="207" t="s">
        <v>29</v>
      </c>
      <c r="BG2" s="207" t="s">
        <v>43</v>
      </c>
      <c r="BH2" s="207" t="s">
        <v>45</v>
      </c>
      <c r="BI2" s="207" t="s">
        <v>44</v>
      </c>
      <c r="BJ2" s="207" t="s">
        <v>46</v>
      </c>
      <c r="BK2" s="207" t="s">
        <v>47</v>
      </c>
      <c r="BL2" s="207" t="s">
        <v>48</v>
      </c>
      <c r="BN2" s="209"/>
      <c r="BO2" s="190" t="s">
        <v>569</v>
      </c>
      <c r="BP2" s="190" t="s">
        <v>569</v>
      </c>
      <c r="BR2" s="190"/>
      <c r="BS2" s="190"/>
      <c r="BT2" s="190" t="s">
        <v>569</v>
      </c>
      <c r="BU2" s="190" t="s">
        <v>569</v>
      </c>
    </row>
    <row r="3" spans="1:73" ht="12.75">
      <c r="A3" s="302"/>
      <c r="B3" s="301"/>
      <c r="C3" s="207" t="s">
        <v>51</v>
      </c>
      <c r="D3" s="207" t="s">
        <v>137</v>
      </c>
      <c r="E3" s="207" t="s">
        <v>137</v>
      </c>
      <c r="F3" s="303" t="s">
        <v>342</v>
      </c>
      <c r="G3" s="303" t="s">
        <v>344</v>
      </c>
      <c r="H3" s="303" t="s">
        <v>370</v>
      </c>
      <c r="I3" s="207" t="s">
        <v>137</v>
      </c>
      <c r="J3" s="207" t="s">
        <v>29</v>
      </c>
      <c r="K3" s="207" t="s">
        <v>137</v>
      </c>
      <c r="L3" s="207" t="s">
        <v>370</v>
      </c>
      <c r="M3" s="207" t="s">
        <v>53</v>
      </c>
      <c r="N3" s="207" t="s">
        <v>52</v>
      </c>
      <c r="O3" s="207" t="s">
        <v>66</v>
      </c>
      <c r="P3" s="207" t="s">
        <v>137</v>
      </c>
      <c r="Q3" s="207" t="s">
        <v>29</v>
      </c>
      <c r="R3" s="207" t="s">
        <v>53</v>
      </c>
      <c r="S3" s="207" t="s">
        <v>54</v>
      </c>
      <c r="T3" s="207" t="s">
        <v>137</v>
      </c>
      <c r="U3" s="207" t="s">
        <v>137</v>
      </c>
      <c r="V3" s="207" t="s">
        <v>55</v>
      </c>
      <c r="W3" s="209" t="s">
        <v>283</v>
      </c>
      <c r="X3" s="207" t="s">
        <v>262</v>
      </c>
      <c r="Y3" s="207" t="s">
        <v>29</v>
      </c>
      <c r="Z3" s="207" t="s">
        <v>62</v>
      </c>
      <c r="AA3" s="207" t="s">
        <v>193</v>
      </c>
      <c r="AB3" s="207" t="s">
        <v>53</v>
      </c>
      <c r="AC3" s="207" t="s">
        <v>266</v>
      </c>
      <c r="AD3" s="207" t="s">
        <v>77</v>
      </c>
      <c r="AE3" s="207" t="s">
        <v>285</v>
      </c>
      <c r="AF3" s="207" t="s">
        <v>276</v>
      </c>
      <c r="AG3" s="207"/>
      <c r="AH3" s="207" t="s">
        <v>73</v>
      </c>
      <c r="AI3" s="207" t="s">
        <v>57</v>
      </c>
      <c r="AJ3" s="207" t="s">
        <v>61</v>
      </c>
      <c r="AK3" s="207"/>
      <c r="AL3" s="207" t="s">
        <v>58</v>
      </c>
      <c r="AM3" s="207" t="s">
        <v>59</v>
      </c>
      <c r="AN3" s="207" t="s">
        <v>60</v>
      </c>
      <c r="AO3" s="207" t="s">
        <v>63</v>
      </c>
      <c r="AP3" s="207" t="s">
        <v>64</v>
      </c>
      <c r="AQ3" s="207"/>
      <c r="AR3" s="207" t="s">
        <v>277</v>
      </c>
      <c r="AS3" s="207" t="s">
        <v>277</v>
      </c>
      <c r="AT3" s="207" t="s">
        <v>65</v>
      </c>
      <c r="AU3" s="207" t="s">
        <v>68</v>
      </c>
      <c r="AV3" s="207" t="s">
        <v>29</v>
      </c>
      <c r="AW3" s="207" t="s">
        <v>280</v>
      </c>
      <c r="AX3" s="207" t="s">
        <v>67</v>
      </c>
      <c r="AY3" s="207" t="s">
        <v>56</v>
      </c>
      <c r="AZ3" s="207" t="s">
        <v>70</v>
      </c>
      <c r="BA3" s="207" t="s">
        <v>69</v>
      </c>
      <c r="BB3" s="207" t="s">
        <v>71</v>
      </c>
      <c r="BC3" s="207" t="s">
        <v>72</v>
      </c>
      <c r="BD3" s="207" t="s">
        <v>76</v>
      </c>
      <c r="BE3" s="207" t="s">
        <v>74</v>
      </c>
      <c r="BF3" s="207" t="s">
        <v>75</v>
      </c>
      <c r="BG3" s="207" t="s">
        <v>78</v>
      </c>
      <c r="BH3" s="207" t="s">
        <v>80</v>
      </c>
      <c r="BI3" s="207" t="s">
        <v>79</v>
      </c>
      <c r="BJ3" s="207" t="s">
        <v>81</v>
      </c>
      <c r="BK3" s="207" t="s">
        <v>82</v>
      </c>
      <c r="BL3" s="207" t="s">
        <v>83</v>
      </c>
      <c r="BN3" s="190" t="s">
        <v>574</v>
      </c>
      <c r="BO3" s="190" t="s">
        <v>570</v>
      </c>
      <c r="BP3" s="190" t="s">
        <v>570</v>
      </c>
      <c r="BS3" s="190"/>
      <c r="BT3" s="190" t="s">
        <v>570</v>
      </c>
      <c r="BU3" s="190" t="s">
        <v>570</v>
      </c>
    </row>
    <row r="4" spans="1:73" ht="12.75">
      <c r="A4" s="304"/>
      <c r="B4" s="302"/>
      <c r="C4" s="213" t="s">
        <v>85</v>
      </c>
      <c r="D4" s="305" t="s">
        <v>340</v>
      </c>
      <c r="E4" s="305" t="s">
        <v>341</v>
      </c>
      <c r="F4" s="305" t="s">
        <v>343</v>
      </c>
      <c r="G4" s="305" t="s">
        <v>345</v>
      </c>
      <c r="H4" s="305" t="s">
        <v>345</v>
      </c>
      <c r="I4" s="213" t="s">
        <v>87</v>
      </c>
      <c r="J4" s="213" t="s">
        <v>88</v>
      </c>
      <c r="K4" s="213" t="s">
        <v>89</v>
      </c>
      <c r="L4" s="305" t="s">
        <v>345</v>
      </c>
      <c r="M4" s="213" t="s">
        <v>90</v>
      </c>
      <c r="N4" s="213" t="s">
        <v>91</v>
      </c>
      <c r="O4" s="213" t="s">
        <v>92</v>
      </c>
      <c r="P4" s="213" t="s">
        <v>189</v>
      </c>
      <c r="Q4" s="213" t="s">
        <v>190</v>
      </c>
      <c r="R4" s="213" t="s">
        <v>191</v>
      </c>
      <c r="S4" s="213" t="s">
        <v>93</v>
      </c>
      <c r="T4" s="213" t="s">
        <v>94</v>
      </c>
      <c r="U4" s="213" t="s">
        <v>95</v>
      </c>
      <c r="V4" s="213" t="s">
        <v>96</v>
      </c>
      <c r="W4" s="213" t="s">
        <v>97</v>
      </c>
      <c r="X4" s="213" t="s">
        <v>98</v>
      </c>
      <c r="Y4" s="213" t="s">
        <v>99</v>
      </c>
      <c r="Z4" s="213" t="s">
        <v>100</v>
      </c>
      <c r="AA4" s="213" t="s">
        <v>101</v>
      </c>
      <c r="AB4" s="213" t="s">
        <v>102</v>
      </c>
      <c r="AC4" s="213" t="s">
        <v>103</v>
      </c>
      <c r="AD4" s="213" t="s">
        <v>104</v>
      </c>
      <c r="AE4" s="213" t="s">
        <v>105</v>
      </c>
      <c r="AF4" s="213" t="s">
        <v>106</v>
      </c>
      <c r="AG4" s="213" t="s">
        <v>305</v>
      </c>
      <c r="AH4" s="213" t="s">
        <v>107</v>
      </c>
      <c r="AI4" s="213" t="s">
        <v>108</v>
      </c>
      <c r="AJ4" s="213" t="s">
        <v>109</v>
      </c>
      <c r="AK4" s="213" t="s">
        <v>110</v>
      </c>
      <c r="AL4" s="213" t="s">
        <v>111</v>
      </c>
      <c r="AM4" s="213" t="s">
        <v>112</v>
      </c>
      <c r="AN4" s="213" t="s">
        <v>113</v>
      </c>
      <c r="AO4" s="213" t="s">
        <v>114</v>
      </c>
      <c r="AP4" s="213" t="s">
        <v>115</v>
      </c>
      <c r="AQ4" s="213" t="s">
        <v>116</v>
      </c>
      <c r="AR4" s="213" t="s">
        <v>367</v>
      </c>
      <c r="AS4" s="207" t="s">
        <v>370</v>
      </c>
      <c r="AT4" s="213" t="s">
        <v>117</v>
      </c>
      <c r="AU4" s="213" t="s">
        <v>118</v>
      </c>
      <c r="AV4" s="213" t="s">
        <v>119</v>
      </c>
      <c r="AW4" s="213" t="s">
        <v>120</v>
      </c>
      <c r="AX4" s="213" t="s">
        <v>121</v>
      </c>
      <c r="AY4" s="213" t="s">
        <v>122</v>
      </c>
      <c r="AZ4" s="213" t="s">
        <v>123</v>
      </c>
      <c r="BA4" s="213" t="s">
        <v>368</v>
      </c>
      <c r="BB4" s="213" t="s">
        <v>124</v>
      </c>
      <c r="BC4" s="213" t="s">
        <v>125</v>
      </c>
      <c r="BD4" s="213" t="s">
        <v>126</v>
      </c>
      <c r="BE4" s="213" t="s">
        <v>127</v>
      </c>
      <c r="BF4" s="213" t="s">
        <v>128</v>
      </c>
      <c r="BG4" s="213" t="s">
        <v>129</v>
      </c>
      <c r="BH4" s="213" t="s">
        <v>130</v>
      </c>
      <c r="BI4" s="213" t="s">
        <v>195</v>
      </c>
      <c r="BJ4" s="213" t="s">
        <v>369</v>
      </c>
      <c r="BK4" s="213" t="s">
        <v>131</v>
      </c>
      <c r="BL4" s="213" t="s">
        <v>132</v>
      </c>
      <c r="BN4" s="215"/>
      <c r="BO4" s="198" t="s">
        <v>575</v>
      </c>
      <c r="BP4" s="198" t="s">
        <v>576</v>
      </c>
      <c r="BR4" s="198"/>
      <c r="BS4" s="198"/>
      <c r="BT4" s="198" t="s">
        <v>575</v>
      </c>
      <c r="BU4" s="198" t="s">
        <v>576</v>
      </c>
    </row>
    <row r="5" spans="1:77" ht="12.75">
      <c r="A5" s="301"/>
      <c r="B5" s="304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207" t="s">
        <v>345</v>
      </c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</row>
    <row r="6" spans="1:77" s="309" customFormat="1" ht="12.75">
      <c r="A6" s="307" t="s">
        <v>550</v>
      </c>
      <c r="B6" s="301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</row>
    <row r="7" spans="1:77" s="309" customFormat="1" ht="12.75">
      <c r="A7" s="301"/>
      <c r="B7" s="301" t="s">
        <v>551</v>
      </c>
      <c r="C7" s="308">
        <v>26414</v>
      </c>
      <c r="D7" s="308">
        <f>31555-23</f>
        <v>31532</v>
      </c>
      <c r="E7" s="308">
        <v>2380</v>
      </c>
      <c r="F7" s="308">
        <v>0</v>
      </c>
      <c r="G7" s="308">
        <v>0</v>
      </c>
      <c r="H7" s="308">
        <v>120</v>
      </c>
      <c r="I7" s="308">
        <v>12854</v>
      </c>
      <c r="J7" s="308">
        <v>11610</v>
      </c>
      <c r="K7" s="308">
        <v>18860</v>
      </c>
      <c r="L7" s="308">
        <v>3</v>
      </c>
      <c r="M7" s="308">
        <v>6861</v>
      </c>
      <c r="N7" s="308">
        <f>10802-166</f>
        <v>10636</v>
      </c>
      <c r="O7" s="308">
        <v>6866</v>
      </c>
      <c r="P7" s="308">
        <v>4489</v>
      </c>
      <c r="Q7" s="308">
        <v>2865</v>
      </c>
      <c r="R7" s="308">
        <v>1991</v>
      </c>
      <c r="S7" s="308">
        <v>2973</v>
      </c>
      <c r="T7" s="308">
        <v>3323</v>
      </c>
      <c r="U7" s="308">
        <f>4774-1762</f>
        <v>3012</v>
      </c>
      <c r="V7" s="308">
        <v>3388</v>
      </c>
      <c r="W7" s="308">
        <v>390</v>
      </c>
      <c r="X7" s="308">
        <f>3206-59</f>
        <v>3147</v>
      </c>
      <c r="Y7" s="308">
        <v>3986.371</v>
      </c>
      <c r="Z7" s="308">
        <v>2688</v>
      </c>
      <c r="AA7" s="308">
        <f>3111-AA14</f>
        <v>3089</v>
      </c>
      <c r="AB7" s="308">
        <v>2251</v>
      </c>
      <c r="AC7" s="308">
        <v>3044</v>
      </c>
      <c r="AD7" s="308">
        <v>2160</v>
      </c>
      <c r="AE7" s="308">
        <v>1101</v>
      </c>
      <c r="AF7" s="308">
        <v>1376</v>
      </c>
      <c r="AG7" s="308">
        <v>1293</v>
      </c>
      <c r="AH7" s="308">
        <v>1318</v>
      </c>
      <c r="AI7" s="308"/>
      <c r="AJ7" s="308">
        <v>321</v>
      </c>
      <c r="AK7" s="308">
        <v>1199</v>
      </c>
      <c r="AL7" s="308">
        <v>12</v>
      </c>
      <c r="AM7" s="308">
        <v>827</v>
      </c>
      <c r="AN7" s="308">
        <v>1008</v>
      </c>
      <c r="AO7" s="308">
        <f>1179-3</f>
        <v>1176</v>
      </c>
      <c r="AP7" s="308">
        <v>636</v>
      </c>
      <c r="AQ7" s="308">
        <v>21</v>
      </c>
      <c r="AR7" s="308">
        <v>335</v>
      </c>
      <c r="AS7" s="308">
        <v>6</v>
      </c>
      <c r="AT7" s="308">
        <v>681</v>
      </c>
      <c r="AU7" s="308">
        <v>288</v>
      </c>
      <c r="AV7" s="308">
        <v>189</v>
      </c>
      <c r="AW7" s="308">
        <v>340</v>
      </c>
      <c r="AX7" s="308">
        <f>619-8</f>
        <v>611</v>
      </c>
      <c r="AY7" s="308">
        <v>449</v>
      </c>
      <c r="AZ7" s="308">
        <v>397</v>
      </c>
      <c r="BA7" s="308">
        <f>412-26</f>
        <v>386</v>
      </c>
      <c r="BB7" s="308">
        <v>152</v>
      </c>
      <c r="BC7" s="308">
        <f>397-25</f>
        <v>372</v>
      </c>
      <c r="BD7" s="308">
        <v>143</v>
      </c>
      <c r="BE7" s="308">
        <v>317</v>
      </c>
      <c r="BF7" s="308">
        <v>157</v>
      </c>
      <c r="BG7" s="308">
        <v>76</v>
      </c>
      <c r="BH7" s="308">
        <v>61</v>
      </c>
      <c r="BI7" s="308">
        <v>19</v>
      </c>
      <c r="BJ7" s="308">
        <v>8</v>
      </c>
      <c r="BK7" s="308">
        <v>7</v>
      </c>
      <c r="BL7" s="308">
        <v>8</v>
      </c>
      <c r="BM7" s="308"/>
      <c r="BN7" s="308">
        <f>SUM(C7:BM7)</f>
        <v>186222.371</v>
      </c>
      <c r="BO7" s="119">
        <f>+D7+E7+F7+G7+H7+AA7+AL7+AN7+AR7+AS7+AU7+AW7+AZ7+BA7+BD7+BG7+BH7+BI7+BK7</f>
        <v>40199</v>
      </c>
      <c r="BP7" s="119">
        <f>+C7+I7+J7+K7+L7+M7+N7+O7+P7+Q7+R7+S7+T7+U7+V7+W7+X7+Y7+Z7+AB7+AC7+AD7+AE7+AF7+AG7+AH7+AI7+AJ7+AK7+AM7+AO7+AP7+AQ7+AT7+AV7+AX7+AY7+BB7+BC7+BE7+BF7+BJ7+BL7</f>
        <v>146023.37099999998</v>
      </c>
      <c r="BQ7" s="119"/>
      <c r="BR7" s="119"/>
      <c r="BS7" s="119"/>
      <c r="BT7" s="119"/>
      <c r="BU7" s="119"/>
      <c r="BV7" s="119"/>
      <c r="BW7" s="119"/>
      <c r="BX7" s="119"/>
      <c r="BY7" s="119"/>
    </row>
    <row r="8" spans="1:77" s="309" customFormat="1" ht="12.75">
      <c r="A8" s="301"/>
      <c r="B8" s="301" t="s">
        <v>552</v>
      </c>
      <c r="C8" s="308">
        <v>308</v>
      </c>
      <c r="D8" s="308">
        <f>1382-574</f>
        <v>808</v>
      </c>
      <c r="E8" s="308">
        <f>576-376</f>
        <v>200</v>
      </c>
      <c r="F8" s="308">
        <v>0</v>
      </c>
      <c r="G8" s="308">
        <v>0</v>
      </c>
      <c r="H8" s="308">
        <v>0</v>
      </c>
      <c r="I8" s="308">
        <v>844</v>
      </c>
      <c r="J8" s="308">
        <v>490</v>
      </c>
      <c r="K8" s="308">
        <v>385</v>
      </c>
      <c r="L8" s="308">
        <v>0</v>
      </c>
      <c r="M8" s="308">
        <v>213</v>
      </c>
      <c r="N8" s="308">
        <v>529</v>
      </c>
      <c r="O8" s="308">
        <v>0</v>
      </c>
      <c r="P8" s="308">
        <v>99</v>
      </c>
      <c r="Q8" s="308">
        <v>79</v>
      </c>
      <c r="R8" s="308">
        <v>28</v>
      </c>
      <c r="S8" s="308">
        <v>255</v>
      </c>
      <c r="T8" s="308">
        <v>71</v>
      </c>
      <c r="U8" s="308">
        <v>519</v>
      </c>
      <c r="V8" s="308">
        <v>405</v>
      </c>
      <c r="W8" s="308">
        <f>179-149</f>
        <v>30</v>
      </c>
      <c r="X8" s="308">
        <f>411-281</f>
        <v>130</v>
      </c>
      <c r="Y8" s="308">
        <v>321</v>
      </c>
      <c r="Z8" s="308">
        <v>57</v>
      </c>
      <c r="AA8" s="308">
        <f>328-224</f>
        <v>104</v>
      </c>
      <c r="AB8" s="308">
        <v>82</v>
      </c>
      <c r="AC8" s="308">
        <v>40</v>
      </c>
      <c r="AD8" s="308">
        <v>43</v>
      </c>
      <c r="AE8" s="308">
        <v>56</v>
      </c>
      <c r="AF8" s="308">
        <v>29</v>
      </c>
      <c r="AG8" s="308">
        <v>36</v>
      </c>
      <c r="AH8" s="308">
        <v>29</v>
      </c>
      <c r="AI8" s="308"/>
      <c r="AJ8" s="308">
        <v>0</v>
      </c>
      <c r="AK8" s="308">
        <v>0</v>
      </c>
      <c r="AL8" s="308">
        <v>0</v>
      </c>
      <c r="AM8" s="308">
        <v>16</v>
      </c>
      <c r="AN8" s="308">
        <v>23</v>
      </c>
      <c r="AO8" s="308">
        <f>41-26</f>
        <v>15</v>
      </c>
      <c r="AP8" s="308">
        <v>6</v>
      </c>
      <c r="AQ8" s="308">
        <v>0</v>
      </c>
      <c r="AR8" s="308">
        <v>0</v>
      </c>
      <c r="AS8" s="308">
        <v>0</v>
      </c>
      <c r="AT8" s="308">
        <v>8</v>
      </c>
      <c r="AU8" s="308">
        <v>0</v>
      </c>
      <c r="AV8" s="308">
        <v>0</v>
      </c>
      <c r="AW8" s="308">
        <f>48-19</f>
        <v>29</v>
      </c>
      <c r="AX8" s="308">
        <f>6-5</f>
        <v>1</v>
      </c>
      <c r="AY8" s="308">
        <v>11</v>
      </c>
      <c r="AZ8" s="308">
        <v>18</v>
      </c>
      <c r="BA8" s="308">
        <v>0</v>
      </c>
      <c r="BB8" s="308">
        <v>4</v>
      </c>
      <c r="BC8" s="308">
        <v>0</v>
      </c>
      <c r="BD8" s="308">
        <v>1</v>
      </c>
      <c r="BE8" s="308">
        <v>0</v>
      </c>
      <c r="BF8" s="308">
        <v>29</v>
      </c>
      <c r="BG8" s="308">
        <v>0</v>
      </c>
      <c r="BH8" s="308">
        <v>0</v>
      </c>
      <c r="BI8" s="308">
        <v>0</v>
      </c>
      <c r="BJ8" s="308">
        <v>0</v>
      </c>
      <c r="BK8" s="308">
        <v>0</v>
      </c>
      <c r="BL8" s="308">
        <v>0</v>
      </c>
      <c r="BM8" s="308"/>
      <c r="BN8" s="308">
        <f>SUM(C8:BM8)</f>
        <v>6351</v>
      </c>
      <c r="BO8" s="119">
        <f>+D8+E8+F8+G8+H8+AA8+AL8+AN8+AR8+AS8+AU8+AW8+AZ8+BA8+BD8+BG8+BH8+BI8+BK8</f>
        <v>1183</v>
      </c>
      <c r="BP8" s="119">
        <f>+C8+I8+J8+K8+L8+M8+N8+O8+P8+Q8+R8+S8+T8+U8+V8+W8+X8+Y8+Z8+AB8+AC8+AD8+AE8+AF8+AG8+AH8+AI8+AJ8+AK8+AM8+AO8+AP8+AQ8+AT8+AV8+AX8+AY8+BB8+BC8+BE8+BF8+BJ8+BL8</f>
        <v>5168</v>
      </c>
      <c r="BQ8" s="119"/>
      <c r="BR8" s="119"/>
      <c r="BS8" s="119"/>
      <c r="BT8" s="119"/>
      <c r="BU8" s="119"/>
      <c r="BV8" s="119"/>
      <c r="BW8" s="119"/>
      <c r="BX8" s="119"/>
      <c r="BY8" s="119"/>
    </row>
    <row r="9" spans="1:77" s="309" customFormat="1" ht="12.75">
      <c r="A9" s="301"/>
      <c r="B9" s="301" t="s">
        <v>577</v>
      </c>
      <c r="C9" s="308">
        <v>4271</v>
      </c>
      <c r="D9" s="308">
        <f>5334-1319</f>
        <v>4015</v>
      </c>
      <c r="E9" s="308">
        <f>1570-132</f>
        <v>1438</v>
      </c>
      <c r="F9" s="308">
        <v>0</v>
      </c>
      <c r="G9" s="308">
        <v>0</v>
      </c>
      <c r="H9" s="308">
        <v>70</v>
      </c>
      <c r="I9" s="308">
        <v>2593</v>
      </c>
      <c r="J9" s="308">
        <v>2364</v>
      </c>
      <c r="K9" s="308">
        <v>1904</v>
      </c>
      <c r="L9" s="308">
        <v>0</v>
      </c>
      <c r="M9" s="308">
        <v>1206</v>
      </c>
      <c r="N9" s="308">
        <v>1946</v>
      </c>
      <c r="O9" s="308">
        <v>1453</v>
      </c>
      <c r="P9" s="308">
        <v>290</v>
      </c>
      <c r="Q9" s="308">
        <v>1605</v>
      </c>
      <c r="R9" s="308">
        <v>902</v>
      </c>
      <c r="S9" s="308">
        <v>1010</v>
      </c>
      <c r="T9" s="308">
        <v>444</v>
      </c>
      <c r="U9" s="308">
        <v>1204</v>
      </c>
      <c r="V9" s="308">
        <v>1105</v>
      </c>
      <c r="W9" s="308">
        <f>381-250</f>
        <v>131</v>
      </c>
      <c r="X9" s="308">
        <f>1382-423</f>
        <v>959</v>
      </c>
      <c r="Y9" s="308">
        <v>316</v>
      </c>
      <c r="Z9" s="308">
        <v>893</v>
      </c>
      <c r="AA9" s="308">
        <f>961-346</f>
        <v>615</v>
      </c>
      <c r="AB9" s="308">
        <v>475</v>
      </c>
      <c r="AC9" s="308">
        <v>1435</v>
      </c>
      <c r="AD9" s="308">
        <v>1005</v>
      </c>
      <c r="AE9" s="308">
        <v>565</v>
      </c>
      <c r="AF9" s="308">
        <v>351</v>
      </c>
      <c r="AG9" s="308">
        <v>89</v>
      </c>
      <c r="AH9" s="308">
        <v>527</v>
      </c>
      <c r="AI9" s="308"/>
      <c r="AJ9" s="308">
        <v>63</v>
      </c>
      <c r="AK9" s="308">
        <v>216</v>
      </c>
      <c r="AL9" s="308">
        <v>25</v>
      </c>
      <c r="AM9" s="308">
        <v>95</v>
      </c>
      <c r="AN9" s="308">
        <v>213</v>
      </c>
      <c r="AO9" s="308">
        <f>306-9</f>
        <v>297</v>
      </c>
      <c r="AP9" s="308">
        <v>170</v>
      </c>
      <c r="AQ9" s="308">
        <v>115</v>
      </c>
      <c r="AR9" s="308">
        <v>47</v>
      </c>
      <c r="AS9" s="308">
        <v>3</v>
      </c>
      <c r="AT9" s="308">
        <v>123</v>
      </c>
      <c r="AU9" s="308">
        <v>14</v>
      </c>
      <c r="AV9" s="308">
        <f>423-109</f>
        <v>314</v>
      </c>
      <c r="AW9" s="308">
        <v>109</v>
      </c>
      <c r="AX9" s="308">
        <f>315-44</f>
        <v>271</v>
      </c>
      <c r="AY9" s="308">
        <v>256</v>
      </c>
      <c r="AZ9" s="308">
        <v>91</v>
      </c>
      <c r="BA9" s="308">
        <f>187-58</f>
        <v>129</v>
      </c>
      <c r="BB9" s="308">
        <v>44</v>
      </c>
      <c r="BC9" s="308">
        <f>147-49</f>
        <v>98</v>
      </c>
      <c r="BD9" s="308">
        <v>12</v>
      </c>
      <c r="BE9" s="308">
        <f>85-18</f>
        <v>67</v>
      </c>
      <c r="BF9" s="308">
        <v>183</v>
      </c>
      <c r="BG9" s="308">
        <v>24</v>
      </c>
      <c r="BH9" s="308">
        <v>22</v>
      </c>
      <c r="BI9" s="308">
        <v>0</v>
      </c>
      <c r="BJ9" s="308">
        <v>0</v>
      </c>
      <c r="BK9" s="308">
        <v>30</v>
      </c>
      <c r="BL9" s="308">
        <v>0</v>
      </c>
      <c r="BM9" s="308"/>
      <c r="BN9" s="308">
        <f>SUM(C9:BM9)</f>
        <v>38212</v>
      </c>
      <c r="BO9" s="119">
        <f>+D9+E9+F9+G9+H9+AA9+AL9+AN9+AR9+AS9+AU9+AW9+AZ9+BA9+BD9+BG9+BH9+BI9+BK9</f>
        <v>6857</v>
      </c>
      <c r="BP9" s="119">
        <f>+C9+I9+J9+K9+L9+M9+N9+O9+P9+Q9+R9+S9+T9+U9+V9+W9+X9+Y9+Z9+AB9+AC9+AD9+AE9+AF9+AG9+AH9+AI9+AJ9+AK9+AM9+AO9+AP9+AQ9+AT9+AV9+AX9+AY9+BB9+BC9+BE9+BF9+BJ9+BL9</f>
        <v>31355</v>
      </c>
      <c r="BQ9" s="119"/>
      <c r="BR9" s="119"/>
      <c r="BS9" s="119"/>
      <c r="BT9" s="119"/>
      <c r="BU9" s="119"/>
      <c r="BV9" s="119"/>
      <c r="BW9" s="119"/>
      <c r="BX9" s="119"/>
      <c r="BY9" s="119"/>
    </row>
    <row r="10" spans="1:77" s="309" customFormat="1" ht="12.75">
      <c r="A10" s="301"/>
      <c r="B10" s="301" t="s">
        <v>553</v>
      </c>
      <c r="C10" s="308">
        <v>1346</v>
      </c>
      <c r="D10" s="308">
        <f>674-42</f>
        <v>632</v>
      </c>
      <c r="E10" s="308">
        <f>251-28</f>
        <v>223</v>
      </c>
      <c r="F10" s="308">
        <v>0</v>
      </c>
      <c r="G10" s="308">
        <v>0</v>
      </c>
      <c r="H10" s="308">
        <v>18</v>
      </c>
      <c r="I10" s="308">
        <v>1288</v>
      </c>
      <c r="J10" s="308">
        <v>1268</v>
      </c>
      <c r="K10" s="308">
        <v>784</v>
      </c>
      <c r="L10" s="308">
        <v>0</v>
      </c>
      <c r="M10" s="308">
        <v>1211</v>
      </c>
      <c r="N10" s="308">
        <v>302</v>
      </c>
      <c r="O10" s="308">
        <v>919</v>
      </c>
      <c r="P10" s="308">
        <v>426</v>
      </c>
      <c r="Q10" s="308">
        <v>937</v>
      </c>
      <c r="R10" s="308">
        <v>793</v>
      </c>
      <c r="S10" s="308">
        <v>872</v>
      </c>
      <c r="T10" s="308">
        <v>531</v>
      </c>
      <c r="U10" s="308">
        <v>363</v>
      </c>
      <c r="V10" s="308">
        <v>374</v>
      </c>
      <c r="W10" s="308">
        <f>672-362</f>
        <v>310</v>
      </c>
      <c r="X10" s="308">
        <f>639-338</f>
        <v>301</v>
      </c>
      <c r="Y10" s="308">
        <v>4</v>
      </c>
      <c r="Z10" s="308">
        <v>585</v>
      </c>
      <c r="AA10" s="308">
        <f>148-5</f>
        <v>143</v>
      </c>
      <c r="AB10" s="308">
        <v>179</v>
      </c>
      <c r="AC10" s="308">
        <v>120</v>
      </c>
      <c r="AD10" s="308">
        <v>265</v>
      </c>
      <c r="AE10" s="308">
        <v>691</v>
      </c>
      <c r="AF10" s="308">
        <v>306</v>
      </c>
      <c r="AG10" s="308">
        <v>276</v>
      </c>
      <c r="AH10" s="308">
        <v>927</v>
      </c>
      <c r="AI10" s="308"/>
      <c r="AJ10" s="308">
        <v>124</v>
      </c>
      <c r="AK10" s="308">
        <v>111</v>
      </c>
      <c r="AL10" s="308">
        <v>66</v>
      </c>
      <c r="AM10" s="308">
        <v>170</v>
      </c>
      <c r="AN10" s="308">
        <v>130</v>
      </c>
      <c r="AO10" s="308">
        <f>185-53</f>
        <v>132</v>
      </c>
      <c r="AP10" s="308">
        <v>40</v>
      </c>
      <c r="AQ10" s="308">
        <v>49</v>
      </c>
      <c r="AR10" s="308">
        <v>161</v>
      </c>
      <c r="AS10" s="308">
        <v>1</v>
      </c>
      <c r="AT10" s="308">
        <v>36</v>
      </c>
      <c r="AU10" s="308">
        <v>0</v>
      </c>
      <c r="AV10" s="308">
        <f>222-29</f>
        <v>193</v>
      </c>
      <c r="AW10" s="308">
        <f>117-45</f>
        <v>72</v>
      </c>
      <c r="AX10" s="308">
        <f>119-18</f>
        <v>101</v>
      </c>
      <c r="AY10" s="308">
        <v>7</v>
      </c>
      <c r="AZ10" s="308">
        <v>37</v>
      </c>
      <c r="BA10" s="308">
        <v>1</v>
      </c>
      <c r="BB10" s="308">
        <v>21</v>
      </c>
      <c r="BC10" s="308">
        <v>0</v>
      </c>
      <c r="BD10" s="308">
        <v>4</v>
      </c>
      <c r="BE10" s="308">
        <v>0</v>
      </c>
      <c r="BF10" s="308">
        <v>0</v>
      </c>
      <c r="BG10" s="308">
        <v>11</v>
      </c>
      <c r="BH10" s="308">
        <v>0.1</v>
      </c>
      <c r="BI10" s="308">
        <v>0</v>
      </c>
      <c r="BJ10" s="308">
        <v>0</v>
      </c>
      <c r="BK10" s="308">
        <v>0</v>
      </c>
      <c r="BL10" s="308">
        <v>0</v>
      </c>
      <c r="BM10" s="308"/>
      <c r="BN10" s="308">
        <f>SUM(C10:BM10)</f>
        <v>17861.1</v>
      </c>
      <c r="BO10" s="119">
        <f>+D10+E10+F10+G10+H10+AA10+AL10+AN10+AR10+AS10+AU10+AW10+AZ10+BA10+BD10+BG10+BH10+BI10+BK10</f>
        <v>1499.1</v>
      </c>
      <c r="BP10" s="119">
        <f>+C10+I10+J10+K10+L10+M10+N10+O10+P10+Q10+R10+S10+T10+U10+V10+W10+X10+Y10+Z10+AB10+AC10+AD10+AE10+AF10+AG10+AH10+AI10+AJ10+AK10+AM10+AO10+AP10+AQ10+AT10+AV10+AX10+AY10+BB10+BC10+BE10+BF10+BJ10+BL10</f>
        <v>16362</v>
      </c>
      <c r="BQ10" s="119"/>
      <c r="BR10" s="119"/>
      <c r="BS10" s="119"/>
      <c r="BT10" s="119"/>
      <c r="BU10" s="119"/>
      <c r="BV10" s="119"/>
      <c r="BW10" s="119"/>
      <c r="BX10" s="119"/>
      <c r="BY10" s="119"/>
    </row>
    <row r="11" spans="1:77" s="309" customFormat="1" ht="12.75">
      <c r="A11" s="301"/>
      <c r="B11" s="245" t="s">
        <v>556</v>
      </c>
      <c r="C11" s="308">
        <f>SUM(C7:C10)</f>
        <v>32339</v>
      </c>
      <c r="D11" s="308">
        <f aca="true" t="shared" si="0" ref="D11:BL11">SUM(D7:D10)</f>
        <v>36987</v>
      </c>
      <c r="E11" s="308">
        <f t="shared" si="0"/>
        <v>4241</v>
      </c>
      <c r="F11" s="308">
        <f t="shared" si="0"/>
        <v>0</v>
      </c>
      <c r="G11" s="308">
        <f t="shared" si="0"/>
        <v>0</v>
      </c>
      <c r="H11" s="308">
        <f t="shared" si="0"/>
        <v>208</v>
      </c>
      <c r="I11" s="308">
        <f t="shared" si="0"/>
        <v>17579</v>
      </c>
      <c r="J11" s="308">
        <f t="shared" si="0"/>
        <v>15732</v>
      </c>
      <c r="K11" s="308">
        <f t="shared" si="0"/>
        <v>21933</v>
      </c>
      <c r="L11" s="308">
        <f t="shared" si="0"/>
        <v>3</v>
      </c>
      <c r="M11" s="308">
        <f t="shared" si="0"/>
        <v>9491</v>
      </c>
      <c r="N11" s="308">
        <f t="shared" si="0"/>
        <v>13413</v>
      </c>
      <c r="O11" s="308">
        <f t="shared" si="0"/>
        <v>9238</v>
      </c>
      <c r="P11" s="308">
        <f t="shared" si="0"/>
        <v>5304</v>
      </c>
      <c r="Q11" s="308">
        <f t="shared" si="0"/>
        <v>5486</v>
      </c>
      <c r="R11" s="308">
        <f t="shared" si="0"/>
        <v>3714</v>
      </c>
      <c r="S11" s="308">
        <f t="shared" si="0"/>
        <v>5110</v>
      </c>
      <c r="T11" s="308">
        <f t="shared" si="0"/>
        <v>4369</v>
      </c>
      <c r="U11" s="308">
        <f t="shared" si="0"/>
        <v>5098</v>
      </c>
      <c r="V11" s="308">
        <f t="shared" si="0"/>
        <v>5272</v>
      </c>
      <c r="W11" s="308">
        <f t="shared" si="0"/>
        <v>861</v>
      </c>
      <c r="X11" s="308">
        <f t="shared" si="0"/>
        <v>4537</v>
      </c>
      <c r="Y11" s="308">
        <f t="shared" si="0"/>
        <v>4627.371</v>
      </c>
      <c r="Z11" s="308">
        <f t="shared" si="0"/>
        <v>4223</v>
      </c>
      <c r="AA11" s="308">
        <f t="shared" si="0"/>
        <v>3951</v>
      </c>
      <c r="AB11" s="308">
        <f t="shared" si="0"/>
        <v>2987</v>
      </c>
      <c r="AC11" s="308">
        <f t="shared" si="0"/>
        <v>4639</v>
      </c>
      <c r="AD11" s="308">
        <f t="shared" si="0"/>
        <v>3473</v>
      </c>
      <c r="AE11" s="308">
        <f t="shared" si="0"/>
        <v>2413</v>
      </c>
      <c r="AF11" s="308">
        <f t="shared" si="0"/>
        <v>2062</v>
      </c>
      <c r="AG11" s="308">
        <f t="shared" si="0"/>
        <v>1694</v>
      </c>
      <c r="AH11" s="308">
        <f t="shared" si="0"/>
        <v>2801</v>
      </c>
      <c r="AI11" s="308"/>
      <c r="AJ11" s="308">
        <f t="shared" si="0"/>
        <v>508</v>
      </c>
      <c r="AK11" s="308">
        <f t="shared" si="0"/>
        <v>1526</v>
      </c>
      <c r="AL11" s="308">
        <f t="shared" si="0"/>
        <v>103</v>
      </c>
      <c r="AM11" s="308">
        <f t="shared" si="0"/>
        <v>1108</v>
      </c>
      <c r="AN11" s="308">
        <f t="shared" si="0"/>
        <v>1374</v>
      </c>
      <c r="AO11" s="308">
        <f t="shared" si="0"/>
        <v>1620</v>
      </c>
      <c r="AP11" s="308">
        <f t="shared" si="0"/>
        <v>852</v>
      </c>
      <c r="AQ11" s="308">
        <f t="shared" si="0"/>
        <v>185</v>
      </c>
      <c r="AR11" s="308">
        <f t="shared" si="0"/>
        <v>543</v>
      </c>
      <c r="AS11" s="308">
        <f t="shared" si="0"/>
        <v>10</v>
      </c>
      <c r="AT11" s="308">
        <f t="shared" si="0"/>
        <v>848</v>
      </c>
      <c r="AU11" s="308">
        <f t="shared" si="0"/>
        <v>302</v>
      </c>
      <c r="AV11" s="308">
        <f t="shared" si="0"/>
        <v>696</v>
      </c>
      <c r="AW11" s="308">
        <f t="shared" si="0"/>
        <v>550</v>
      </c>
      <c r="AX11" s="308">
        <f t="shared" si="0"/>
        <v>984</v>
      </c>
      <c r="AY11" s="308">
        <f t="shared" si="0"/>
        <v>723</v>
      </c>
      <c r="AZ11" s="308">
        <f t="shared" si="0"/>
        <v>543</v>
      </c>
      <c r="BA11" s="308">
        <f t="shared" si="0"/>
        <v>516</v>
      </c>
      <c r="BB11" s="308">
        <f t="shared" si="0"/>
        <v>221</v>
      </c>
      <c r="BC11" s="308">
        <f t="shared" si="0"/>
        <v>470</v>
      </c>
      <c r="BD11" s="308">
        <f t="shared" si="0"/>
        <v>160</v>
      </c>
      <c r="BE11" s="308">
        <f t="shared" si="0"/>
        <v>384</v>
      </c>
      <c r="BF11" s="308">
        <f t="shared" si="0"/>
        <v>369</v>
      </c>
      <c r="BG11" s="308">
        <f t="shared" si="0"/>
        <v>111</v>
      </c>
      <c r="BH11" s="308">
        <f t="shared" si="0"/>
        <v>83.1</v>
      </c>
      <c r="BI11" s="308">
        <f t="shared" si="0"/>
        <v>19</v>
      </c>
      <c r="BJ11" s="308">
        <f t="shared" si="0"/>
        <v>8</v>
      </c>
      <c r="BK11" s="308">
        <f t="shared" si="0"/>
        <v>37</v>
      </c>
      <c r="BL11" s="308">
        <f t="shared" si="0"/>
        <v>8</v>
      </c>
      <c r="BM11" s="308"/>
      <c r="BN11" s="308">
        <f>SUM(C11:BM11)</f>
        <v>248646.47100000002</v>
      </c>
      <c r="BO11" s="119">
        <f>+D11+E11+F11+G11+H11+AA11+AL11+AN11+AR11+AS11+AU11+AW11+AZ11+BA11+BD11+BG11+BH11+BI11+BK11</f>
        <v>49738.1</v>
      </c>
      <c r="BP11" s="119">
        <f>+C11+I11+J11+K11+L11+M11+N11+O11+P11+Q11+R11+S11+T11+U11+V11+W11+X11+Y11+Z11+AB11+AC11+AD11+AE11+AF11+AG11+AH11+AI11+AJ11+AK11+AM11+AO11+AP11+AQ11+AT11+AV11+AX11+AY11+BB11+BC11+BE11+BF11+BJ11+BL11</f>
        <v>198908.371</v>
      </c>
      <c r="BQ11" s="119"/>
      <c r="BR11" s="119"/>
      <c r="BS11" s="119"/>
      <c r="BT11" s="119"/>
      <c r="BU11" s="119"/>
      <c r="BV11" s="119"/>
      <c r="BW11" s="119"/>
      <c r="BX11" s="119"/>
      <c r="BY11" s="119"/>
    </row>
    <row r="12" spans="1:77" s="309" customFormat="1" ht="9.75" customHeight="1">
      <c r="A12" s="301"/>
      <c r="B12" s="301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</row>
    <row r="13" spans="1:77" s="311" customFormat="1" ht="15" customHeight="1">
      <c r="A13" s="246" t="s">
        <v>554</v>
      </c>
      <c r="B13" s="301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10"/>
      <c r="BN13" s="308"/>
      <c r="BO13" s="119"/>
      <c r="BP13" s="119"/>
      <c r="BQ13" s="310"/>
      <c r="BR13" s="310"/>
      <c r="BS13" s="310"/>
      <c r="BT13" s="310"/>
      <c r="BU13" s="310"/>
      <c r="BV13" s="310"/>
      <c r="BW13" s="310"/>
      <c r="BX13" s="310"/>
      <c r="BY13" s="310"/>
    </row>
    <row r="14" spans="1:77" s="309" customFormat="1" ht="12.75">
      <c r="A14" s="301"/>
      <c r="B14" s="301" t="s">
        <v>551</v>
      </c>
      <c r="C14" s="308">
        <v>983</v>
      </c>
      <c r="D14" s="308">
        <v>23</v>
      </c>
      <c r="E14" s="308">
        <v>0</v>
      </c>
      <c r="F14" s="308">
        <v>0</v>
      </c>
      <c r="G14" s="308">
        <v>0</v>
      </c>
      <c r="H14" s="308">
        <v>0</v>
      </c>
      <c r="I14" s="308">
        <v>2113</v>
      </c>
      <c r="J14" s="308">
        <v>523</v>
      </c>
      <c r="K14" s="308">
        <v>984</v>
      </c>
      <c r="L14" s="308">
        <v>0</v>
      </c>
      <c r="M14" s="308">
        <v>47</v>
      </c>
      <c r="N14" s="308">
        <v>115</v>
      </c>
      <c r="O14" s="308">
        <v>53</v>
      </c>
      <c r="P14" s="308">
        <v>130</v>
      </c>
      <c r="Q14" s="308">
        <v>23</v>
      </c>
      <c r="R14" s="308">
        <v>0</v>
      </c>
      <c r="S14" s="308">
        <v>0</v>
      </c>
      <c r="T14" s="308">
        <v>84</v>
      </c>
      <c r="U14" s="308">
        <v>1762</v>
      </c>
      <c r="V14" s="308">
        <v>0</v>
      </c>
      <c r="W14" s="308">
        <v>0</v>
      </c>
      <c r="X14" s="308">
        <v>59</v>
      </c>
      <c r="Y14" s="308">
        <v>0</v>
      </c>
      <c r="Z14" s="308">
        <v>70</v>
      </c>
      <c r="AA14" s="308">
        <v>22</v>
      </c>
      <c r="AB14" s="308">
        <v>31</v>
      </c>
      <c r="AC14" s="308">
        <v>43</v>
      </c>
      <c r="AD14" s="308">
        <v>0</v>
      </c>
      <c r="AE14" s="308">
        <v>1623</v>
      </c>
      <c r="AF14" s="308">
        <v>93</v>
      </c>
      <c r="AG14" s="308">
        <v>8</v>
      </c>
      <c r="AH14" s="308">
        <v>0</v>
      </c>
      <c r="AI14" s="308"/>
      <c r="AJ14" s="308">
        <v>0</v>
      </c>
      <c r="AK14" s="308">
        <v>0</v>
      </c>
      <c r="AL14" s="308">
        <v>574</v>
      </c>
      <c r="AM14" s="308">
        <v>304</v>
      </c>
      <c r="AN14" s="308">
        <v>0</v>
      </c>
      <c r="AO14" s="308">
        <v>3</v>
      </c>
      <c r="AP14" s="308">
        <v>0</v>
      </c>
      <c r="AQ14" s="308">
        <v>129</v>
      </c>
      <c r="AR14" s="308">
        <v>0</v>
      </c>
      <c r="AS14" s="308">
        <v>0</v>
      </c>
      <c r="AT14" s="308">
        <v>0</v>
      </c>
      <c r="AU14" s="308">
        <v>18</v>
      </c>
      <c r="AV14" s="308">
        <v>0</v>
      </c>
      <c r="AW14" s="308">
        <v>0</v>
      </c>
      <c r="AX14" s="308">
        <v>8</v>
      </c>
      <c r="AY14" s="308">
        <v>4</v>
      </c>
      <c r="AZ14" s="308">
        <v>4</v>
      </c>
      <c r="BA14" s="308">
        <v>26</v>
      </c>
      <c r="BB14" s="308">
        <v>0</v>
      </c>
      <c r="BC14" s="308">
        <v>25</v>
      </c>
      <c r="BD14" s="308">
        <v>0</v>
      </c>
      <c r="BE14" s="308">
        <v>1</v>
      </c>
      <c r="BF14" s="308">
        <v>0</v>
      </c>
      <c r="BG14" s="308">
        <v>0</v>
      </c>
      <c r="BH14" s="308">
        <v>0</v>
      </c>
      <c r="BI14" s="308">
        <v>0</v>
      </c>
      <c r="BJ14" s="308">
        <v>0</v>
      </c>
      <c r="BK14" s="308">
        <v>0</v>
      </c>
      <c r="BL14" s="308">
        <v>0</v>
      </c>
      <c r="BM14" s="308"/>
      <c r="BN14" s="308">
        <f aca="true" t="shared" si="1" ref="BN14:BN19">SUM(C14:BM14)</f>
        <v>9885</v>
      </c>
      <c r="BO14" s="119">
        <f aca="true" t="shared" si="2" ref="BO14:BO19">+D14+E14+F14+G14+H14+AA14+AL14+AN14+AR14+AS14+AU14+AW14+AZ14+BA14+BD14+BG14+BH14+BI14+BK14</f>
        <v>667</v>
      </c>
      <c r="BP14" s="119">
        <f aca="true" t="shared" si="3" ref="BP14:BP19">+C14+I14+J14+K14+L14+M14+N14+O14+P14+Q14+R14+S14+T14+U14+V14+W14+X14+Y14+Z14+AB14+AC14+AD14+AE14+AF14+AG14+AH14+AI14+AJ14+AK14+AM14+AO14+AP14+AQ14+AT14+AV14+AX14+AY14+BB14+BC14+BE14+BF14+BJ14+BL14</f>
        <v>9218</v>
      </c>
      <c r="BQ14" s="119"/>
      <c r="BR14" s="119"/>
      <c r="BS14" s="119"/>
      <c r="BT14" s="119"/>
      <c r="BU14" s="119"/>
      <c r="BV14" s="119"/>
      <c r="BW14" s="119"/>
      <c r="BX14" s="119"/>
      <c r="BY14" s="119"/>
    </row>
    <row r="15" spans="1:77" s="309" customFormat="1" ht="12.75">
      <c r="A15" s="301"/>
      <c r="B15" s="301" t="s">
        <v>552</v>
      </c>
      <c r="C15" s="308">
        <v>814</v>
      </c>
      <c r="D15" s="308">
        <v>574</v>
      </c>
      <c r="E15" s="308">
        <v>376</v>
      </c>
      <c r="F15" s="308">
        <v>0</v>
      </c>
      <c r="G15" s="308">
        <v>0</v>
      </c>
      <c r="H15" s="308">
        <v>0</v>
      </c>
      <c r="I15" s="308">
        <v>1633</v>
      </c>
      <c r="J15" s="308">
        <v>1150</v>
      </c>
      <c r="K15" s="308">
        <v>756</v>
      </c>
      <c r="L15" s="308">
        <v>0</v>
      </c>
      <c r="M15" s="308">
        <v>114</v>
      </c>
      <c r="N15" s="308">
        <v>263</v>
      </c>
      <c r="O15" s="308">
        <v>9</v>
      </c>
      <c r="P15" s="308">
        <v>126</v>
      </c>
      <c r="Q15" s="308">
        <v>113</v>
      </c>
      <c r="R15" s="308">
        <v>221</v>
      </c>
      <c r="S15" s="308">
        <v>643</v>
      </c>
      <c r="T15" s="308">
        <v>336</v>
      </c>
      <c r="U15" s="308">
        <v>2</v>
      </c>
      <c r="V15" s="308">
        <v>0</v>
      </c>
      <c r="W15" s="308">
        <v>149</v>
      </c>
      <c r="X15" s="308">
        <v>281</v>
      </c>
      <c r="Y15" s="308">
        <v>0</v>
      </c>
      <c r="Z15" s="308">
        <v>106</v>
      </c>
      <c r="AA15" s="308">
        <v>224</v>
      </c>
      <c r="AB15" s="308">
        <v>330</v>
      </c>
      <c r="AC15" s="308">
        <v>98</v>
      </c>
      <c r="AD15" s="308">
        <v>220</v>
      </c>
      <c r="AE15" s="308">
        <v>271</v>
      </c>
      <c r="AF15" s="308">
        <v>169</v>
      </c>
      <c r="AG15" s="308">
        <v>56</v>
      </c>
      <c r="AH15" s="308">
        <v>0</v>
      </c>
      <c r="AI15" s="308"/>
      <c r="AJ15" s="308">
        <v>0</v>
      </c>
      <c r="AK15" s="308">
        <v>33</v>
      </c>
      <c r="AL15" s="308">
        <v>0</v>
      </c>
      <c r="AM15" s="308">
        <v>83</v>
      </c>
      <c r="AN15" s="308">
        <v>88</v>
      </c>
      <c r="AO15" s="308">
        <v>26</v>
      </c>
      <c r="AP15" s="308">
        <v>66</v>
      </c>
      <c r="AQ15" s="308">
        <v>0</v>
      </c>
      <c r="AR15" s="308">
        <v>0</v>
      </c>
      <c r="AS15" s="308">
        <v>0</v>
      </c>
      <c r="AT15" s="308">
        <v>36</v>
      </c>
      <c r="AU15" s="308">
        <v>73</v>
      </c>
      <c r="AV15" s="308">
        <v>0</v>
      </c>
      <c r="AW15" s="308">
        <v>19</v>
      </c>
      <c r="AX15" s="308">
        <v>5</v>
      </c>
      <c r="AY15" s="308">
        <v>11</v>
      </c>
      <c r="AZ15" s="308">
        <v>125</v>
      </c>
      <c r="BA15" s="308">
        <v>0</v>
      </c>
      <c r="BB15" s="308">
        <v>114</v>
      </c>
      <c r="BC15" s="308">
        <v>9</v>
      </c>
      <c r="BD15" s="308">
        <v>8</v>
      </c>
      <c r="BE15" s="308">
        <v>3</v>
      </c>
      <c r="BF15" s="308">
        <v>0</v>
      </c>
      <c r="BG15" s="308">
        <v>114</v>
      </c>
      <c r="BH15" s="308">
        <v>4</v>
      </c>
      <c r="BI15" s="308">
        <v>0</v>
      </c>
      <c r="BJ15" s="308">
        <v>0</v>
      </c>
      <c r="BK15" s="308">
        <v>0</v>
      </c>
      <c r="BL15" s="308">
        <v>0</v>
      </c>
      <c r="BM15" s="308"/>
      <c r="BN15" s="308">
        <f t="shared" si="1"/>
        <v>9851</v>
      </c>
      <c r="BO15" s="119">
        <f t="shared" si="2"/>
        <v>1605</v>
      </c>
      <c r="BP15" s="119">
        <f t="shared" si="3"/>
        <v>8246</v>
      </c>
      <c r="BQ15" s="119"/>
      <c r="BR15" s="119"/>
      <c r="BS15" s="119"/>
      <c r="BT15" s="119"/>
      <c r="BU15" s="119"/>
      <c r="BV15" s="119"/>
      <c r="BW15" s="119"/>
      <c r="BX15" s="119"/>
      <c r="BY15" s="119"/>
    </row>
    <row r="16" spans="1:77" s="309" customFormat="1" ht="12.75">
      <c r="A16" s="301"/>
      <c r="B16" s="301" t="s">
        <v>577</v>
      </c>
      <c r="C16" s="308">
        <v>6617</v>
      </c>
      <c r="D16" s="308">
        <v>1319</v>
      </c>
      <c r="E16" s="308">
        <v>132</v>
      </c>
      <c r="F16" s="308">
        <v>0</v>
      </c>
      <c r="G16" s="308">
        <v>0</v>
      </c>
      <c r="H16" s="308">
        <v>0</v>
      </c>
      <c r="I16" s="308">
        <v>799</v>
      </c>
      <c r="J16" s="308">
        <v>971</v>
      </c>
      <c r="K16" s="308">
        <v>2075</v>
      </c>
      <c r="L16" s="308">
        <v>0</v>
      </c>
      <c r="M16" s="308">
        <v>177</v>
      </c>
      <c r="N16" s="308">
        <v>0</v>
      </c>
      <c r="O16" s="308">
        <v>2072</v>
      </c>
      <c r="P16" s="308">
        <v>252</v>
      </c>
      <c r="Q16" s="308">
        <v>57</v>
      </c>
      <c r="R16" s="308">
        <v>801</v>
      </c>
      <c r="S16" s="308">
        <v>665</v>
      </c>
      <c r="T16" s="308">
        <v>221</v>
      </c>
      <c r="U16" s="308">
        <v>17</v>
      </c>
      <c r="V16" s="308">
        <v>0</v>
      </c>
      <c r="W16" s="308">
        <v>250</v>
      </c>
      <c r="X16" s="308">
        <v>423</v>
      </c>
      <c r="Y16" s="308">
        <v>0</v>
      </c>
      <c r="Z16" s="308">
        <v>205</v>
      </c>
      <c r="AA16" s="308">
        <v>346</v>
      </c>
      <c r="AB16" s="308">
        <v>827</v>
      </c>
      <c r="AC16" s="308">
        <v>26</v>
      </c>
      <c r="AD16" s="308">
        <v>217</v>
      </c>
      <c r="AE16" s="308">
        <v>0</v>
      </c>
      <c r="AF16" s="308">
        <v>83</v>
      </c>
      <c r="AG16" s="308">
        <v>94</v>
      </c>
      <c r="AH16" s="308">
        <v>0</v>
      </c>
      <c r="AI16" s="308"/>
      <c r="AJ16" s="308">
        <v>116</v>
      </c>
      <c r="AK16" s="308">
        <v>0</v>
      </c>
      <c r="AL16" s="308">
        <v>24</v>
      </c>
      <c r="AM16" s="308">
        <v>114</v>
      </c>
      <c r="AN16" s="308">
        <v>20</v>
      </c>
      <c r="AO16" s="308">
        <v>9</v>
      </c>
      <c r="AP16" s="308">
        <v>276</v>
      </c>
      <c r="AQ16" s="308">
        <v>1068</v>
      </c>
      <c r="AR16" s="308">
        <v>24</v>
      </c>
      <c r="AS16" s="308">
        <v>0</v>
      </c>
      <c r="AT16" s="308">
        <v>161</v>
      </c>
      <c r="AU16" s="308">
        <v>11</v>
      </c>
      <c r="AV16" s="308">
        <v>109</v>
      </c>
      <c r="AW16" s="308">
        <v>0</v>
      </c>
      <c r="AX16" s="308">
        <v>44</v>
      </c>
      <c r="AY16" s="308">
        <v>13</v>
      </c>
      <c r="AZ16" s="308">
        <v>15</v>
      </c>
      <c r="BA16" s="308">
        <v>58</v>
      </c>
      <c r="BB16" s="308">
        <v>60</v>
      </c>
      <c r="BC16" s="308">
        <v>49</v>
      </c>
      <c r="BD16" s="308">
        <v>82</v>
      </c>
      <c r="BE16" s="308">
        <v>18</v>
      </c>
      <c r="BF16" s="308">
        <v>0</v>
      </c>
      <c r="BG16" s="308">
        <v>0</v>
      </c>
      <c r="BH16" s="308">
        <v>0</v>
      </c>
      <c r="BI16" s="308">
        <v>0</v>
      </c>
      <c r="BJ16" s="308">
        <v>0</v>
      </c>
      <c r="BK16" s="308">
        <v>0</v>
      </c>
      <c r="BL16" s="308">
        <v>0</v>
      </c>
      <c r="BM16" s="308"/>
      <c r="BN16" s="308">
        <f t="shared" si="1"/>
        <v>20917</v>
      </c>
      <c r="BO16" s="119">
        <f t="shared" si="2"/>
        <v>2031</v>
      </c>
      <c r="BP16" s="119">
        <f t="shared" si="3"/>
        <v>18886</v>
      </c>
      <c r="BQ16" s="119"/>
      <c r="BR16" s="119"/>
      <c r="BS16" s="119"/>
      <c r="BT16" s="119"/>
      <c r="BU16" s="119"/>
      <c r="BV16" s="119"/>
      <c r="BW16" s="119"/>
      <c r="BX16" s="119"/>
      <c r="BY16" s="119"/>
    </row>
    <row r="17" spans="1:77" s="309" customFormat="1" ht="12.75">
      <c r="A17" s="301"/>
      <c r="B17" s="301" t="s">
        <v>553</v>
      </c>
      <c r="C17" s="308">
        <v>1398</v>
      </c>
      <c r="D17" s="308">
        <v>42</v>
      </c>
      <c r="E17" s="308">
        <v>28</v>
      </c>
      <c r="F17" s="308">
        <v>0</v>
      </c>
      <c r="G17" s="308">
        <v>0</v>
      </c>
      <c r="H17" s="308">
        <v>0</v>
      </c>
      <c r="I17" s="308">
        <v>718</v>
      </c>
      <c r="J17" s="308">
        <v>160</v>
      </c>
      <c r="K17" s="308">
        <v>186</v>
      </c>
      <c r="L17" s="308">
        <v>0</v>
      </c>
      <c r="M17" s="308">
        <v>869</v>
      </c>
      <c r="N17" s="308">
        <v>142</v>
      </c>
      <c r="O17" s="308">
        <v>43</v>
      </c>
      <c r="P17" s="308">
        <v>196</v>
      </c>
      <c r="Q17" s="308">
        <v>865</v>
      </c>
      <c r="R17" s="308">
        <v>2038</v>
      </c>
      <c r="S17" s="308">
        <v>0</v>
      </c>
      <c r="T17" s="308">
        <v>100</v>
      </c>
      <c r="U17" s="308">
        <v>24</v>
      </c>
      <c r="V17" s="308">
        <v>54</v>
      </c>
      <c r="W17" s="308">
        <v>362</v>
      </c>
      <c r="X17" s="308">
        <v>338</v>
      </c>
      <c r="Y17" s="308">
        <v>330</v>
      </c>
      <c r="Z17" s="308">
        <v>276</v>
      </c>
      <c r="AA17" s="308">
        <v>5</v>
      </c>
      <c r="AB17" s="308">
        <v>297</v>
      </c>
      <c r="AC17" s="308">
        <v>45</v>
      </c>
      <c r="AD17" s="308">
        <v>150</v>
      </c>
      <c r="AE17" s="308">
        <v>79</v>
      </c>
      <c r="AF17" s="308">
        <v>133</v>
      </c>
      <c r="AG17" s="308">
        <v>121</v>
      </c>
      <c r="AH17" s="308">
        <v>0</v>
      </c>
      <c r="AI17" s="308"/>
      <c r="AJ17" s="308">
        <v>243</v>
      </c>
      <c r="AK17" s="308">
        <v>0</v>
      </c>
      <c r="AL17" s="308">
        <v>198</v>
      </c>
      <c r="AM17" s="308">
        <v>106</v>
      </c>
      <c r="AN17" s="308">
        <v>35</v>
      </c>
      <c r="AO17" s="308">
        <v>53</v>
      </c>
      <c r="AP17" s="308">
        <v>53</v>
      </c>
      <c r="AQ17" s="308">
        <v>0</v>
      </c>
      <c r="AR17" s="308">
        <v>0</v>
      </c>
      <c r="AS17" s="308">
        <v>0</v>
      </c>
      <c r="AT17" s="308">
        <v>6</v>
      </c>
      <c r="AU17" s="308">
        <v>78</v>
      </c>
      <c r="AV17" s="308">
        <v>29</v>
      </c>
      <c r="AW17" s="308">
        <v>45</v>
      </c>
      <c r="AX17" s="308">
        <v>18</v>
      </c>
      <c r="AY17" s="308">
        <v>15</v>
      </c>
      <c r="AZ17" s="308">
        <v>13</v>
      </c>
      <c r="BA17" s="308">
        <v>72</v>
      </c>
      <c r="BB17" s="308">
        <v>35</v>
      </c>
      <c r="BC17" s="308">
        <v>7</v>
      </c>
      <c r="BD17" s="308">
        <v>0</v>
      </c>
      <c r="BE17" s="308">
        <v>3</v>
      </c>
      <c r="BF17" s="308">
        <v>0</v>
      </c>
      <c r="BG17" s="308">
        <v>0</v>
      </c>
      <c r="BH17" s="308">
        <v>0</v>
      </c>
      <c r="BI17" s="308">
        <v>0</v>
      </c>
      <c r="BJ17" s="308">
        <v>0</v>
      </c>
      <c r="BK17" s="308">
        <v>0</v>
      </c>
      <c r="BL17" s="308">
        <v>0</v>
      </c>
      <c r="BM17" s="308"/>
      <c r="BN17" s="308">
        <f t="shared" si="1"/>
        <v>10008</v>
      </c>
      <c r="BO17" s="119">
        <f t="shared" si="2"/>
        <v>516</v>
      </c>
      <c r="BP17" s="119">
        <f t="shared" si="3"/>
        <v>9492</v>
      </c>
      <c r="BQ17" s="119"/>
      <c r="BR17" s="119"/>
      <c r="BS17" s="119"/>
      <c r="BT17" s="119"/>
      <c r="BU17" s="119"/>
      <c r="BV17" s="119"/>
      <c r="BW17" s="119"/>
      <c r="BX17" s="119"/>
      <c r="BY17" s="119"/>
    </row>
    <row r="18" spans="1:77" s="309" customFormat="1" ht="12.75">
      <c r="A18" s="301"/>
      <c r="B18" s="301" t="s">
        <v>555</v>
      </c>
      <c r="C18" s="308">
        <v>13244</v>
      </c>
      <c r="D18" s="308">
        <v>12138</v>
      </c>
      <c r="E18" s="308">
        <v>3176</v>
      </c>
      <c r="F18" s="308">
        <v>31</v>
      </c>
      <c r="G18" s="308">
        <v>0</v>
      </c>
      <c r="H18" s="308">
        <v>0</v>
      </c>
      <c r="I18" s="308">
        <v>7556</v>
      </c>
      <c r="J18" s="308">
        <v>5655</v>
      </c>
      <c r="K18" s="308">
        <v>2892</v>
      </c>
      <c r="L18" s="308">
        <v>0</v>
      </c>
      <c r="M18" s="308">
        <v>575</v>
      </c>
      <c r="N18" s="308">
        <v>479</v>
      </c>
      <c r="O18" s="308">
        <v>1589</v>
      </c>
      <c r="P18" s="308">
        <v>4168</v>
      </c>
      <c r="Q18" s="308">
        <v>2994</v>
      </c>
      <c r="R18" s="308">
        <v>1184</v>
      </c>
      <c r="S18" s="308">
        <v>369</v>
      </c>
      <c r="T18" s="308">
        <v>1820</v>
      </c>
      <c r="U18" s="308">
        <v>677</v>
      </c>
      <c r="V18" s="308">
        <v>613</v>
      </c>
      <c r="W18" s="308">
        <v>2895</v>
      </c>
      <c r="X18" s="308">
        <v>2</v>
      </c>
      <c r="Y18" s="308">
        <v>0.354</v>
      </c>
      <c r="Z18" s="308">
        <v>61</v>
      </c>
      <c r="AA18" s="308">
        <v>1087</v>
      </c>
      <c r="AB18" s="308">
        <v>40</v>
      </c>
      <c r="AC18" s="308">
        <v>1050</v>
      </c>
      <c r="AD18" s="308">
        <v>46</v>
      </c>
      <c r="AE18" s="308">
        <v>458</v>
      </c>
      <c r="AF18" s="308">
        <v>584</v>
      </c>
      <c r="AG18" s="308">
        <v>155</v>
      </c>
      <c r="AH18" s="308">
        <v>0</v>
      </c>
      <c r="AI18" s="308"/>
      <c r="AJ18" s="308">
        <v>789</v>
      </c>
      <c r="AK18" s="308">
        <v>1070</v>
      </c>
      <c r="AL18" s="308">
        <v>1531</v>
      </c>
      <c r="AM18" s="308">
        <v>127</v>
      </c>
      <c r="AN18" s="308">
        <v>0</v>
      </c>
      <c r="AO18" s="308">
        <v>98</v>
      </c>
      <c r="AP18" s="308">
        <v>52</v>
      </c>
      <c r="AQ18" s="308">
        <v>5</v>
      </c>
      <c r="AR18" s="308">
        <v>205</v>
      </c>
      <c r="AS18" s="308">
        <v>0</v>
      </c>
      <c r="AT18" s="308">
        <v>94</v>
      </c>
      <c r="AU18" s="308">
        <v>386</v>
      </c>
      <c r="AV18" s="308">
        <v>0</v>
      </c>
      <c r="AW18" s="308">
        <v>292</v>
      </c>
      <c r="AX18" s="308">
        <v>60</v>
      </c>
      <c r="AY18" s="308">
        <v>81</v>
      </c>
      <c r="AZ18" s="308">
        <v>140</v>
      </c>
      <c r="BA18" s="308">
        <v>93</v>
      </c>
      <c r="BB18" s="308">
        <v>34</v>
      </c>
      <c r="BC18" s="308">
        <v>4</v>
      </c>
      <c r="BD18" s="308">
        <v>88</v>
      </c>
      <c r="BE18" s="308">
        <v>12</v>
      </c>
      <c r="BF18" s="308">
        <v>31</v>
      </c>
      <c r="BG18" s="308">
        <v>5</v>
      </c>
      <c r="BH18" s="308">
        <v>5</v>
      </c>
      <c r="BI18" s="308">
        <v>64</v>
      </c>
      <c r="BJ18" s="308">
        <v>66</v>
      </c>
      <c r="BK18" s="308">
        <v>8</v>
      </c>
      <c r="BL18" s="308">
        <v>0</v>
      </c>
      <c r="BM18" s="308"/>
      <c r="BN18" s="308">
        <f t="shared" si="1"/>
        <v>70878.35399999999</v>
      </c>
      <c r="BO18" s="119">
        <f t="shared" si="2"/>
        <v>19249</v>
      </c>
      <c r="BP18" s="119">
        <f t="shared" si="3"/>
        <v>51629.354</v>
      </c>
      <c r="BQ18" s="119"/>
      <c r="BR18" s="119"/>
      <c r="BS18" s="119"/>
      <c r="BT18" s="119"/>
      <c r="BU18" s="119"/>
      <c r="BV18" s="119"/>
      <c r="BW18" s="119"/>
      <c r="BX18" s="119"/>
      <c r="BY18" s="119"/>
    </row>
    <row r="19" spans="1:77" s="309" customFormat="1" ht="12.75">
      <c r="A19" s="301"/>
      <c r="B19" s="245" t="s">
        <v>556</v>
      </c>
      <c r="C19" s="308">
        <f>SUM(C14:C18)</f>
        <v>23056</v>
      </c>
      <c r="D19" s="308">
        <f aca="true" t="shared" si="4" ref="D19:BL19">SUM(D14:D18)</f>
        <v>14096</v>
      </c>
      <c r="E19" s="308">
        <f t="shared" si="4"/>
        <v>3712</v>
      </c>
      <c r="F19" s="308">
        <f t="shared" si="4"/>
        <v>31</v>
      </c>
      <c r="G19" s="308">
        <f t="shared" si="4"/>
        <v>0</v>
      </c>
      <c r="H19" s="308">
        <f t="shared" si="4"/>
        <v>0</v>
      </c>
      <c r="I19" s="308">
        <f t="shared" si="4"/>
        <v>12819</v>
      </c>
      <c r="J19" s="308">
        <f t="shared" si="4"/>
        <v>8459</v>
      </c>
      <c r="K19" s="308">
        <f t="shared" si="4"/>
        <v>6893</v>
      </c>
      <c r="L19" s="308">
        <f t="shared" si="4"/>
        <v>0</v>
      </c>
      <c r="M19" s="308">
        <f t="shared" si="4"/>
        <v>1782</v>
      </c>
      <c r="N19" s="308">
        <f t="shared" si="4"/>
        <v>999</v>
      </c>
      <c r="O19" s="308">
        <f t="shared" si="4"/>
        <v>3766</v>
      </c>
      <c r="P19" s="308">
        <f t="shared" si="4"/>
        <v>4872</v>
      </c>
      <c r="Q19" s="308">
        <f t="shared" si="4"/>
        <v>4052</v>
      </c>
      <c r="R19" s="308">
        <f t="shared" si="4"/>
        <v>4244</v>
      </c>
      <c r="S19" s="308">
        <f t="shared" si="4"/>
        <v>1677</v>
      </c>
      <c r="T19" s="308">
        <f t="shared" si="4"/>
        <v>2561</v>
      </c>
      <c r="U19" s="308">
        <f t="shared" si="4"/>
        <v>2482</v>
      </c>
      <c r="V19" s="308">
        <f t="shared" si="4"/>
        <v>667</v>
      </c>
      <c r="W19" s="308">
        <f t="shared" si="4"/>
        <v>3656</v>
      </c>
      <c r="X19" s="308">
        <f t="shared" si="4"/>
        <v>1103</v>
      </c>
      <c r="Y19" s="308">
        <f t="shared" si="4"/>
        <v>330.354</v>
      </c>
      <c r="Z19" s="308">
        <f t="shared" si="4"/>
        <v>718</v>
      </c>
      <c r="AA19" s="308">
        <f t="shared" si="4"/>
        <v>1684</v>
      </c>
      <c r="AB19" s="308">
        <f t="shared" si="4"/>
        <v>1525</v>
      </c>
      <c r="AC19" s="308">
        <f t="shared" si="4"/>
        <v>1262</v>
      </c>
      <c r="AD19" s="308">
        <f t="shared" si="4"/>
        <v>633</v>
      </c>
      <c r="AE19" s="308">
        <f t="shared" si="4"/>
        <v>2431</v>
      </c>
      <c r="AF19" s="308">
        <f t="shared" si="4"/>
        <v>1062</v>
      </c>
      <c r="AG19" s="308">
        <f t="shared" si="4"/>
        <v>434</v>
      </c>
      <c r="AH19" s="308">
        <f t="shared" si="4"/>
        <v>0</v>
      </c>
      <c r="AI19" s="308"/>
      <c r="AJ19" s="308">
        <f t="shared" si="4"/>
        <v>1148</v>
      </c>
      <c r="AK19" s="308">
        <f t="shared" si="4"/>
        <v>1103</v>
      </c>
      <c r="AL19" s="308">
        <f t="shared" si="4"/>
        <v>2327</v>
      </c>
      <c r="AM19" s="308">
        <f t="shared" si="4"/>
        <v>734</v>
      </c>
      <c r="AN19" s="308">
        <f t="shared" si="4"/>
        <v>143</v>
      </c>
      <c r="AO19" s="308">
        <f t="shared" si="4"/>
        <v>189</v>
      </c>
      <c r="AP19" s="308">
        <f t="shared" si="4"/>
        <v>447</v>
      </c>
      <c r="AQ19" s="308">
        <f t="shared" si="4"/>
        <v>1202</v>
      </c>
      <c r="AR19" s="308">
        <f t="shared" si="4"/>
        <v>229</v>
      </c>
      <c r="AS19" s="308">
        <f t="shared" si="4"/>
        <v>0</v>
      </c>
      <c r="AT19" s="308">
        <f t="shared" si="4"/>
        <v>297</v>
      </c>
      <c r="AU19" s="308">
        <f t="shared" si="4"/>
        <v>566</v>
      </c>
      <c r="AV19" s="308">
        <f t="shared" si="4"/>
        <v>138</v>
      </c>
      <c r="AW19" s="308">
        <f t="shared" si="4"/>
        <v>356</v>
      </c>
      <c r="AX19" s="308">
        <f t="shared" si="4"/>
        <v>135</v>
      </c>
      <c r="AY19" s="308">
        <f t="shared" si="4"/>
        <v>124</v>
      </c>
      <c r="AZ19" s="308">
        <f t="shared" si="4"/>
        <v>297</v>
      </c>
      <c r="BA19" s="308">
        <f t="shared" si="4"/>
        <v>249</v>
      </c>
      <c r="BB19" s="308">
        <f t="shared" si="4"/>
        <v>243</v>
      </c>
      <c r="BC19" s="308">
        <f t="shared" si="4"/>
        <v>94</v>
      </c>
      <c r="BD19" s="308">
        <f t="shared" si="4"/>
        <v>178</v>
      </c>
      <c r="BE19" s="308">
        <f t="shared" si="4"/>
        <v>37</v>
      </c>
      <c r="BF19" s="308">
        <f t="shared" si="4"/>
        <v>31</v>
      </c>
      <c r="BG19" s="308">
        <f t="shared" si="4"/>
        <v>119</v>
      </c>
      <c r="BH19" s="308">
        <f t="shared" si="4"/>
        <v>9</v>
      </c>
      <c r="BI19" s="308">
        <f t="shared" si="4"/>
        <v>64</v>
      </c>
      <c r="BJ19" s="308">
        <f t="shared" si="4"/>
        <v>66</v>
      </c>
      <c r="BK19" s="308">
        <f t="shared" si="4"/>
        <v>8</v>
      </c>
      <c r="BL19" s="308">
        <f t="shared" si="4"/>
        <v>0</v>
      </c>
      <c r="BM19" s="308"/>
      <c r="BN19" s="308">
        <f t="shared" si="1"/>
        <v>121539.354</v>
      </c>
      <c r="BO19" s="119">
        <f t="shared" si="2"/>
        <v>24068</v>
      </c>
      <c r="BP19" s="119">
        <f t="shared" si="3"/>
        <v>97471.354</v>
      </c>
      <c r="BQ19" s="119"/>
      <c r="BR19" s="119"/>
      <c r="BS19" s="119"/>
      <c r="BT19" s="119"/>
      <c r="BU19" s="119"/>
      <c r="BV19" s="119"/>
      <c r="BW19" s="119"/>
      <c r="BX19" s="119"/>
      <c r="BY19" s="119"/>
    </row>
    <row r="20" spans="1:77" s="309" customFormat="1" ht="12.75">
      <c r="A20" s="246" t="s">
        <v>557</v>
      </c>
      <c r="B20" s="301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</row>
    <row r="21" spans="2:77" s="309" customFormat="1" ht="12.75">
      <c r="B21" s="301" t="s">
        <v>558</v>
      </c>
      <c r="C21" s="308">
        <f aca="true" t="shared" si="5" ref="C21:AH21">+C23-C22</f>
        <v>29255</v>
      </c>
      <c r="D21" s="308">
        <f t="shared" si="5"/>
        <v>11770</v>
      </c>
      <c r="E21" s="308">
        <f t="shared" si="5"/>
        <v>4375</v>
      </c>
      <c r="F21" s="308">
        <f t="shared" si="5"/>
        <v>0</v>
      </c>
      <c r="G21" s="308">
        <f t="shared" si="5"/>
        <v>0</v>
      </c>
      <c r="H21" s="308">
        <f t="shared" si="5"/>
        <v>222</v>
      </c>
      <c r="I21" s="308">
        <f t="shared" si="5"/>
        <v>16640</v>
      </c>
      <c r="J21" s="308">
        <f t="shared" si="5"/>
        <v>17367</v>
      </c>
      <c r="K21" s="308">
        <f t="shared" si="5"/>
        <v>12026</v>
      </c>
      <c r="L21" s="308">
        <f t="shared" si="5"/>
        <v>0</v>
      </c>
      <c r="M21" s="308">
        <f t="shared" si="5"/>
        <v>6516</v>
      </c>
      <c r="N21" s="308">
        <f t="shared" si="5"/>
        <v>4426</v>
      </c>
      <c r="O21" s="308">
        <f t="shared" si="5"/>
        <v>3944</v>
      </c>
      <c r="P21" s="308">
        <f t="shared" si="5"/>
        <v>5448</v>
      </c>
      <c r="Q21" s="308">
        <f t="shared" si="5"/>
        <v>3553</v>
      </c>
      <c r="R21" s="308">
        <f t="shared" si="5"/>
        <v>4727</v>
      </c>
      <c r="S21" s="308">
        <f t="shared" si="5"/>
        <v>5112</v>
      </c>
      <c r="T21" s="308">
        <f t="shared" si="5"/>
        <v>4652</v>
      </c>
      <c r="U21" s="308">
        <f t="shared" si="5"/>
        <v>3722</v>
      </c>
      <c r="V21" s="308">
        <f t="shared" si="5"/>
        <v>4220</v>
      </c>
      <c r="W21" s="308">
        <f t="shared" si="5"/>
        <v>4415</v>
      </c>
      <c r="X21" s="308">
        <f t="shared" si="5"/>
        <v>3365</v>
      </c>
      <c r="Y21" s="308">
        <f t="shared" si="5"/>
        <v>3786</v>
      </c>
      <c r="Z21" s="308">
        <f t="shared" si="5"/>
        <v>3511</v>
      </c>
      <c r="AA21" s="308">
        <f t="shared" si="5"/>
        <v>1873</v>
      </c>
      <c r="AB21" s="308">
        <f t="shared" si="5"/>
        <v>2316</v>
      </c>
      <c r="AC21" s="308">
        <f t="shared" si="5"/>
        <v>727</v>
      </c>
      <c r="AD21" s="308">
        <f t="shared" si="5"/>
        <v>2333</v>
      </c>
      <c r="AE21" s="308">
        <f t="shared" si="5"/>
        <v>1024</v>
      </c>
      <c r="AF21" s="308">
        <f t="shared" si="5"/>
        <v>2441</v>
      </c>
      <c r="AG21" s="308">
        <f t="shared" si="5"/>
        <v>2544</v>
      </c>
      <c r="AH21" s="308">
        <f t="shared" si="5"/>
        <v>1246</v>
      </c>
      <c r="AI21" s="308"/>
      <c r="AJ21" s="308">
        <f aca="true" t="shared" si="6" ref="AJ21:BL21">+AJ23-AJ22</f>
        <v>822</v>
      </c>
      <c r="AK21" s="308">
        <f t="shared" si="6"/>
        <v>340</v>
      </c>
      <c r="AL21" s="308">
        <f t="shared" si="6"/>
        <v>252</v>
      </c>
      <c r="AM21" s="308">
        <f t="shared" si="6"/>
        <v>511</v>
      </c>
      <c r="AN21" s="308">
        <f t="shared" si="6"/>
        <v>846</v>
      </c>
      <c r="AO21" s="308">
        <f t="shared" si="6"/>
        <v>203</v>
      </c>
      <c r="AP21" s="308">
        <f t="shared" si="6"/>
        <v>616</v>
      </c>
      <c r="AQ21" s="308">
        <f t="shared" si="6"/>
        <v>78</v>
      </c>
      <c r="AR21" s="308">
        <f t="shared" si="6"/>
        <v>375</v>
      </c>
      <c r="AS21" s="308">
        <f t="shared" si="6"/>
        <v>7</v>
      </c>
      <c r="AT21" s="308">
        <f t="shared" si="6"/>
        <v>536</v>
      </c>
      <c r="AU21" s="308">
        <f t="shared" si="6"/>
        <v>434</v>
      </c>
      <c r="AV21" s="308">
        <f t="shared" si="6"/>
        <v>362</v>
      </c>
      <c r="AW21" s="308">
        <f t="shared" si="6"/>
        <v>308</v>
      </c>
      <c r="AX21" s="308">
        <f t="shared" si="6"/>
        <v>75</v>
      </c>
      <c r="AY21" s="308">
        <f t="shared" si="6"/>
        <v>213</v>
      </c>
      <c r="AZ21" s="308">
        <f t="shared" si="6"/>
        <v>216</v>
      </c>
      <c r="BA21" s="308">
        <f t="shared" si="6"/>
        <v>0</v>
      </c>
      <c r="BB21" s="308">
        <f t="shared" si="6"/>
        <v>178</v>
      </c>
      <c r="BC21" s="308">
        <f t="shared" si="6"/>
        <v>29</v>
      </c>
      <c r="BD21" s="308">
        <f t="shared" si="6"/>
        <v>85</v>
      </c>
      <c r="BE21" s="308">
        <f t="shared" si="6"/>
        <v>41</v>
      </c>
      <c r="BF21" s="308">
        <f t="shared" si="6"/>
        <v>1</v>
      </c>
      <c r="BG21" s="308">
        <f t="shared" si="6"/>
        <v>6</v>
      </c>
      <c r="BH21" s="308">
        <f t="shared" si="6"/>
        <v>22</v>
      </c>
      <c r="BI21" s="308">
        <f t="shared" si="6"/>
        <v>0</v>
      </c>
      <c r="BJ21" s="308">
        <f t="shared" si="6"/>
        <v>0</v>
      </c>
      <c r="BK21" s="308">
        <f t="shared" si="6"/>
        <v>0</v>
      </c>
      <c r="BL21" s="308">
        <f t="shared" si="6"/>
        <v>0</v>
      </c>
      <c r="BM21" s="308"/>
      <c r="BN21" s="308">
        <f>SUM(C21:BM21)</f>
        <v>174112</v>
      </c>
      <c r="BO21" s="119">
        <f>+D21+E21+F21+G21+H21+AA21+AL21+AN21+AR21+AS21+AU21+AW21+AZ21+BA21+BD21+BG21+BH21+BI21+BK21</f>
        <v>20791</v>
      </c>
      <c r="BP21" s="119">
        <f>+C21+I21+J21+K21+L21+M21+N21+O21+P21+Q21+R21+S21+T21+U21+V21+W21+X21+Y21+Z21+AB21+AC21+AD21+AE21+AF21+AG21+AH21+AI21+AJ21+AK21+AM21+AO21+AP21+AQ21+AT21+AV21+AX21+AY21+BB21+BC21+BE21+BF21+BJ21+BL21</f>
        <v>153321</v>
      </c>
      <c r="BQ21" s="119"/>
      <c r="BR21" s="119"/>
      <c r="BS21" s="119"/>
      <c r="BT21" s="119"/>
      <c r="BU21" s="119"/>
      <c r="BV21" s="119"/>
      <c r="BW21" s="119"/>
      <c r="BX21" s="119"/>
      <c r="BY21" s="119"/>
    </row>
    <row r="22" spans="2:77" s="309" customFormat="1" ht="12.75">
      <c r="B22" s="301" t="s">
        <v>559</v>
      </c>
      <c r="C22" s="308">
        <v>234</v>
      </c>
      <c r="D22" s="308">
        <v>156</v>
      </c>
      <c r="E22" s="308">
        <v>56</v>
      </c>
      <c r="F22" s="308">
        <v>0</v>
      </c>
      <c r="G22" s="308">
        <v>0</v>
      </c>
      <c r="H22" s="308">
        <v>5</v>
      </c>
      <c r="I22" s="308">
        <v>565</v>
      </c>
      <c r="J22" s="308">
        <v>136</v>
      </c>
      <c r="K22" s="308">
        <v>373</v>
      </c>
      <c r="L22" s="308">
        <v>0</v>
      </c>
      <c r="M22" s="308">
        <v>952</v>
      </c>
      <c r="N22" s="308">
        <v>78</v>
      </c>
      <c r="O22" s="308">
        <v>49</v>
      </c>
      <c r="P22" s="308">
        <v>223</v>
      </c>
      <c r="Q22" s="308">
        <v>1512</v>
      </c>
      <c r="R22" s="308">
        <v>1096</v>
      </c>
      <c r="S22" s="308">
        <v>134</v>
      </c>
      <c r="T22" s="308">
        <v>124</v>
      </c>
      <c r="U22" s="308">
        <v>153</v>
      </c>
      <c r="V22" s="308">
        <v>184</v>
      </c>
      <c r="W22" s="308">
        <v>0</v>
      </c>
      <c r="X22" s="308">
        <v>121</v>
      </c>
      <c r="Y22" s="308">
        <v>0</v>
      </c>
      <c r="Z22" s="308">
        <v>21</v>
      </c>
      <c r="AA22" s="308">
        <v>24</v>
      </c>
      <c r="AB22" s="308">
        <v>45</v>
      </c>
      <c r="AC22" s="308">
        <v>3</v>
      </c>
      <c r="AD22" s="308">
        <v>0</v>
      </c>
      <c r="AE22" s="308">
        <v>20</v>
      </c>
      <c r="AF22" s="308">
        <v>7</v>
      </c>
      <c r="AG22" s="308">
        <v>32</v>
      </c>
      <c r="AH22" s="308">
        <v>0</v>
      </c>
      <c r="AI22" s="308"/>
      <c r="AJ22" s="308">
        <v>886</v>
      </c>
      <c r="AK22" s="308">
        <v>0</v>
      </c>
      <c r="AL22" s="308">
        <v>3</v>
      </c>
      <c r="AM22" s="308">
        <v>0</v>
      </c>
      <c r="AN22" s="308">
        <v>3</v>
      </c>
      <c r="AO22" s="308">
        <v>4</v>
      </c>
      <c r="AP22" s="308">
        <v>25</v>
      </c>
      <c r="AQ22" s="308">
        <v>0</v>
      </c>
      <c r="AR22" s="308">
        <v>9</v>
      </c>
      <c r="AS22" s="308">
        <v>0</v>
      </c>
      <c r="AT22" s="308">
        <v>7</v>
      </c>
      <c r="AU22" s="308">
        <v>61</v>
      </c>
      <c r="AV22" s="308">
        <v>10</v>
      </c>
      <c r="AW22" s="308">
        <v>6</v>
      </c>
      <c r="AX22" s="308">
        <v>2</v>
      </c>
      <c r="AY22" s="308">
        <v>16</v>
      </c>
      <c r="AZ22" s="308">
        <v>0</v>
      </c>
      <c r="BA22" s="308">
        <v>0</v>
      </c>
      <c r="BB22" s="308">
        <v>2</v>
      </c>
      <c r="BC22" s="308">
        <v>0</v>
      </c>
      <c r="BD22" s="308">
        <v>6</v>
      </c>
      <c r="BE22" s="308">
        <v>1</v>
      </c>
      <c r="BF22" s="308">
        <v>0</v>
      </c>
      <c r="BG22" s="308">
        <v>0</v>
      </c>
      <c r="BH22" s="308">
        <v>2</v>
      </c>
      <c r="BI22" s="308">
        <v>0</v>
      </c>
      <c r="BJ22" s="308">
        <v>0</v>
      </c>
      <c r="BK22" s="308">
        <v>10</v>
      </c>
      <c r="BL22" s="308">
        <v>0</v>
      </c>
      <c r="BM22" s="308"/>
      <c r="BN22" s="308">
        <f>SUM(C22:BM22)</f>
        <v>7356</v>
      </c>
      <c r="BO22" s="119">
        <f>+D22+E22+F22+G22+H22+AA22+AL22+AN22+AR22+AS22+AU22+AW22+AZ22+BA22+BD22+BG22+BH22+BI22+BK22</f>
        <v>341</v>
      </c>
      <c r="BP22" s="119">
        <f>+C22+I22+J22+K22+L22+M22+N22+O22+P22+Q22+R22+S22+T22+U22+V22+W22+X22+Y22+Z22+AB22+AC22+AD22+AE22+AF22+AG22+AH22+AI22+AJ22+AK22+AM22+AO22+AP22+AQ22+AT22+AV22+AX22+AY22+BB22+BC22+BE22+BF22+BJ22+BL22</f>
        <v>7015</v>
      </c>
      <c r="BQ22" s="119"/>
      <c r="BR22" s="119"/>
      <c r="BS22" s="119"/>
      <c r="BT22" s="119"/>
      <c r="BU22" s="119"/>
      <c r="BV22" s="119"/>
      <c r="BW22" s="119"/>
      <c r="BX22" s="119"/>
      <c r="BY22" s="119"/>
    </row>
    <row r="23" spans="2:77" s="309" customFormat="1" ht="12.75">
      <c r="B23" s="245" t="s">
        <v>556</v>
      </c>
      <c r="C23" s="308">
        <v>29489</v>
      </c>
      <c r="D23" s="308">
        <v>11926</v>
      </c>
      <c r="E23" s="308">
        <v>4431</v>
      </c>
      <c r="F23" s="308">
        <v>0</v>
      </c>
      <c r="G23" s="308">
        <v>0</v>
      </c>
      <c r="H23" s="308">
        <v>227</v>
      </c>
      <c r="I23" s="308">
        <v>17205</v>
      </c>
      <c r="J23" s="308">
        <v>17503</v>
      </c>
      <c r="K23" s="308">
        <v>12399</v>
      </c>
      <c r="L23" s="308">
        <v>0</v>
      </c>
      <c r="M23" s="308">
        <v>7468</v>
      </c>
      <c r="N23" s="308">
        <v>4504</v>
      </c>
      <c r="O23" s="308">
        <v>3993</v>
      </c>
      <c r="P23" s="308">
        <v>5671</v>
      </c>
      <c r="Q23" s="308">
        <v>5065</v>
      </c>
      <c r="R23" s="308">
        <v>5823</v>
      </c>
      <c r="S23" s="308">
        <v>5246</v>
      </c>
      <c r="T23" s="308">
        <v>4776</v>
      </c>
      <c r="U23" s="308">
        <v>3875</v>
      </c>
      <c r="V23" s="308">
        <v>4404</v>
      </c>
      <c r="W23" s="308">
        <v>4415</v>
      </c>
      <c r="X23" s="308">
        <v>3486</v>
      </c>
      <c r="Y23" s="308">
        <v>3786</v>
      </c>
      <c r="Z23" s="308">
        <v>3532</v>
      </c>
      <c r="AA23" s="308">
        <v>1897</v>
      </c>
      <c r="AB23" s="308">
        <v>2361</v>
      </c>
      <c r="AC23" s="308">
        <v>730</v>
      </c>
      <c r="AD23" s="308">
        <v>2333</v>
      </c>
      <c r="AE23" s="308">
        <v>1044</v>
      </c>
      <c r="AF23" s="308">
        <v>2448</v>
      </c>
      <c r="AG23" s="308">
        <v>2576</v>
      </c>
      <c r="AH23" s="308">
        <v>1246</v>
      </c>
      <c r="AI23" s="308"/>
      <c r="AJ23" s="308">
        <v>1708</v>
      </c>
      <c r="AK23" s="308">
        <v>340</v>
      </c>
      <c r="AL23" s="308">
        <v>255</v>
      </c>
      <c r="AM23" s="308">
        <v>511</v>
      </c>
      <c r="AN23" s="308">
        <v>849</v>
      </c>
      <c r="AO23" s="308">
        <v>207</v>
      </c>
      <c r="AP23" s="308">
        <v>641</v>
      </c>
      <c r="AQ23" s="308">
        <v>78</v>
      </c>
      <c r="AR23" s="308">
        <v>384</v>
      </c>
      <c r="AS23" s="308">
        <v>7</v>
      </c>
      <c r="AT23" s="308">
        <v>543</v>
      </c>
      <c r="AU23" s="308">
        <v>495</v>
      </c>
      <c r="AV23" s="308">
        <v>372</v>
      </c>
      <c r="AW23" s="308">
        <v>314</v>
      </c>
      <c r="AX23" s="308">
        <v>77</v>
      </c>
      <c r="AY23" s="308">
        <v>229</v>
      </c>
      <c r="AZ23" s="308">
        <v>216</v>
      </c>
      <c r="BA23" s="308">
        <v>0</v>
      </c>
      <c r="BB23" s="308">
        <v>180</v>
      </c>
      <c r="BC23" s="308">
        <v>29</v>
      </c>
      <c r="BD23" s="308">
        <v>91</v>
      </c>
      <c r="BE23" s="308">
        <v>42</v>
      </c>
      <c r="BF23" s="308">
        <v>1</v>
      </c>
      <c r="BG23" s="308">
        <v>6</v>
      </c>
      <c r="BH23" s="308">
        <v>24</v>
      </c>
      <c r="BI23" s="308">
        <v>0</v>
      </c>
      <c r="BJ23" s="308">
        <v>0</v>
      </c>
      <c r="BK23" s="308">
        <v>10</v>
      </c>
      <c r="BL23" s="308">
        <v>0</v>
      </c>
      <c r="BM23" s="308"/>
      <c r="BN23" s="308">
        <f>SUM(C23:BM23)</f>
        <v>181468</v>
      </c>
      <c r="BO23" s="119">
        <f>+D23+E23+F23+G23+H23+AA23+AL23+AN23+AR23+AS23+AU23+AW23+AZ23+BA23+BD23+BG23+BH23+BI23+BK23</f>
        <v>21132</v>
      </c>
      <c r="BP23" s="119">
        <f>+C23+I23+J23+K23+L23+M23+N23+O23+P23+Q23+R23+S23+T23+U23+V23+W23+X23+Y23+Z23+AB23+AC23+AD23+AE23+AF23+AG23+AH23+AI23+AJ23+AK23+AM23+AO23+AP23+AQ23+AT23+AV23+AX23+AY23+BB23+BC23+BE23+BF23+BJ23+BL23</f>
        <v>160336</v>
      </c>
      <c r="BQ23" s="119"/>
      <c r="BR23" s="119"/>
      <c r="BS23" s="119"/>
      <c r="BT23" s="119"/>
      <c r="BU23" s="119"/>
      <c r="BV23" s="119"/>
      <c r="BW23" s="119"/>
      <c r="BX23" s="119"/>
      <c r="BY23" s="119"/>
    </row>
    <row r="24" spans="1:77" s="309" customFormat="1" ht="12.75">
      <c r="A24" s="246"/>
      <c r="B24" s="301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2:77" s="309" customFormat="1" ht="18" customHeight="1">
      <c r="B25" s="312" t="s">
        <v>560</v>
      </c>
      <c r="C25" s="308">
        <f>+C11+C19+C23</f>
        <v>84884</v>
      </c>
      <c r="D25" s="308">
        <f aca="true" t="shared" si="7" ref="D25:BL25">+D11+D19+D23</f>
        <v>63009</v>
      </c>
      <c r="E25" s="308">
        <f t="shared" si="7"/>
        <v>12384</v>
      </c>
      <c r="F25" s="308">
        <f t="shared" si="7"/>
        <v>31</v>
      </c>
      <c r="G25" s="308">
        <f t="shared" si="7"/>
        <v>0</v>
      </c>
      <c r="H25" s="308">
        <f t="shared" si="7"/>
        <v>435</v>
      </c>
      <c r="I25" s="308">
        <f t="shared" si="7"/>
        <v>47603</v>
      </c>
      <c r="J25" s="308">
        <f t="shared" si="7"/>
        <v>41694</v>
      </c>
      <c r="K25" s="308">
        <f t="shared" si="7"/>
        <v>41225</v>
      </c>
      <c r="L25" s="308">
        <f t="shared" si="7"/>
        <v>3</v>
      </c>
      <c r="M25" s="308">
        <f t="shared" si="7"/>
        <v>18741</v>
      </c>
      <c r="N25" s="308">
        <f t="shared" si="7"/>
        <v>18916</v>
      </c>
      <c r="O25" s="308">
        <f t="shared" si="7"/>
        <v>16997</v>
      </c>
      <c r="P25" s="308">
        <f t="shared" si="7"/>
        <v>15847</v>
      </c>
      <c r="Q25" s="308">
        <f t="shared" si="7"/>
        <v>14603</v>
      </c>
      <c r="R25" s="308">
        <f t="shared" si="7"/>
        <v>13781</v>
      </c>
      <c r="S25" s="308">
        <f t="shared" si="7"/>
        <v>12033</v>
      </c>
      <c r="T25" s="308">
        <f t="shared" si="7"/>
        <v>11706</v>
      </c>
      <c r="U25" s="308">
        <f t="shared" si="7"/>
        <v>11455</v>
      </c>
      <c r="V25" s="308">
        <f t="shared" si="7"/>
        <v>10343</v>
      </c>
      <c r="W25" s="308">
        <f t="shared" si="7"/>
        <v>8932</v>
      </c>
      <c r="X25" s="308">
        <f t="shared" si="7"/>
        <v>9126</v>
      </c>
      <c r="Y25" s="308">
        <f t="shared" si="7"/>
        <v>8743.725</v>
      </c>
      <c r="Z25" s="308">
        <f t="shared" si="7"/>
        <v>8473</v>
      </c>
      <c r="AA25" s="308">
        <f t="shared" si="7"/>
        <v>7532</v>
      </c>
      <c r="AB25" s="308">
        <f t="shared" si="7"/>
        <v>6873</v>
      </c>
      <c r="AC25" s="308">
        <f t="shared" si="7"/>
        <v>6631</v>
      </c>
      <c r="AD25" s="308">
        <f t="shared" si="7"/>
        <v>6439</v>
      </c>
      <c r="AE25" s="308">
        <f t="shared" si="7"/>
        <v>5888</v>
      </c>
      <c r="AF25" s="308">
        <f t="shared" si="7"/>
        <v>5572</v>
      </c>
      <c r="AG25" s="308">
        <f t="shared" si="7"/>
        <v>4704</v>
      </c>
      <c r="AH25" s="308">
        <f t="shared" si="7"/>
        <v>4047</v>
      </c>
      <c r="AI25" s="308"/>
      <c r="AJ25" s="308">
        <f t="shared" si="7"/>
        <v>3364</v>
      </c>
      <c r="AK25" s="308">
        <f t="shared" si="7"/>
        <v>2969</v>
      </c>
      <c r="AL25" s="308">
        <f t="shared" si="7"/>
        <v>2685</v>
      </c>
      <c r="AM25" s="308">
        <f t="shared" si="7"/>
        <v>2353</v>
      </c>
      <c r="AN25" s="308">
        <f t="shared" si="7"/>
        <v>2366</v>
      </c>
      <c r="AO25" s="308">
        <f t="shared" si="7"/>
        <v>2016</v>
      </c>
      <c r="AP25" s="308">
        <f t="shared" si="7"/>
        <v>1940</v>
      </c>
      <c r="AQ25" s="308">
        <f t="shared" si="7"/>
        <v>1465</v>
      </c>
      <c r="AR25" s="308">
        <f t="shared" si="7"/>
        <v>1156</v>
      </c>
      <c r="AS25" s="308">
        <f t="shared" si="7"/>
        <v>17</v>
      </c>
      <c r="AT25" s="308">
        <f t="shared" si="7"/>
        <v>1688</v>
      </c>
      <c r="AU25" s="308">
        <f t="shared" si="7"/>
        <v>1363</v>
      </c>
      <c r="AV25" s="308">
        <f t="shared" si="7"/>
        <v>1206</v>
      </c>
      <c r="AW25" s="308">
        <f t="shared" si="7"/>
        <v>1220</v>
      </c>
      <c r="AX25" s="308">
        <f t="shared" si="7"/>
        <v>1196</v>
      </c>
      <c r="AY25" s="308">
        <f t="shared" si="7"/>
        <v>1076</v>
      </c>
      <c r="AZ25" s="308">
        <f t="shared" si="7"/>
        <v>1056</v>
      </c>
      <c r="BA25" s="308">
        <f t="shared" si="7"/>
        <v>765</v>
      </c>
      <c r="BB25" s="308">
        <f t="shared" si="7"/>
        <v>644</v>
      </c>
      <c r="BC25" s="308">
        <f t="shared" si="7"/>
        <v>593</v>
      </c>
      <c r="BD25" s="308">
        <f t="shared" si="7"/>
        <v>429</v>
      </c>
      <c r="BE25" s="308">
        <f t="shared" si="7"/>
        <v>463</v>
      </c>
      <c r="BF25" s="308">
        <f t="shared" si="7"/>
        <v>401</v>
      </c>
      <c r="BG25" s="308">
        <f t="shared" si="7"/>
        <v>236</v>
      </c>
      <c r="BH25" s="308">
        <f t="shared" si="7"/>
        <v>116.1</v>
      </c>
      <c r="BI25" s="308">
        <f t="shared" si="7"/>
        <v>83</v>
      </c>
      <c r="BJ25" s="308">
        <f t="shared" si="7"/>
        <v>74</v>
      </c>
      <c r="BK25" s="308">
        <f t="shared" si="7"/>
        <v>55</v>
      </c>
      <c r="BL25" s="308">
        <f t="shared" si="7"/>
        <v>8</v>
      </c>
      <c r="BM25" s="308"/>
      <c r="BN25" s="308">
        <f>SUM(C25:BM25)</f>
        <v>551653.825</v>
      </c>
      <c r="BO25" s="119">
        <f>+D25+E25+F25+G25+H25+AA25+AL25+AN25+AR25+AS25+AU25+AW25+AZ25+BA25+BD25+BG25+BH25+BI25+BK25</f>
        <v>94938.1</v>
      </c>
      <c r="BP25" s="119">
        <f>+C25+I25+J25+K25+L25+M25+N25+O25+P25+Q25+R25+S25+T25+U25+V25+W25+X25+Y25+Z25+AB25+AC25+AD25+AE25+AF25+AG25+AH25+AI25+AJ25+AK25+AM25+AO25+AP25+AQ25+AT25+AV25+AX25+AY25+BB25+BC25+BE25+BF25+BJ25+BL25</f>
        <v>456715.725</v>
      </c>
      <c r="BQ25" s="119"/>
      <c r="BR25" s="119"/>
      <c r="BS25" s="119"/>
      <c r="BT25" s="119"/>
      <c r="BU25" s="119"/>
      <c r="BV25" s="119"/>
      <c r="BW25" s="119"/>
      <c r="BX25" s="119"/>
      <c r="BY25" s="119"/>
    </row>
    <row r="26" spans="1:77" s="309" customFormat="1" ht="12.75" hidden="1">
      <c r="A26" s="246" t="s">
        <v>371</v>
      </c>
      <c r="B26" s="301"/>
      <c r="C26" s="308">
        <f>(+'3.1 Balance sheet.'!B24-'3.1 Balance sheet.'!B22)/1000</f>
        <v>84883.152561</v>
      </c>
      <c r="D26" s="308">
        <f>(+'3.1 Balance sheet.'!E24-'3.1 Balance sheet.'!E22)/1000</f>
        <v>63017.564</v>
      </c>
      <c r="E26" s="308">
        <f>(+'3.1 Balance sheet.'!F24-'3.1 Balance sheet.'!F22)/1000</f>
        <v>12383.159</v>
      </c>
      <c r="F26" s="308">
        <f>(+'3.1 Balance sheet.'!G24-'3.1 Balance sheet.'!G22)/1000</f>
        <v>30.815</v>
      </c>
      <c r="G26" s="308">
        <f>(+'3.1 Balance sheet.'!H24-'3.1 Balance sheet.'!H22)/1000</f>
        <v>0</v>
      </c>
      <c r="H26" s="308">
        <v>446.641</v>
      </c>
      <c r="I26" s="308">
        <f>+('3.1 Balance sheet.'!J25-'3.1 Balance sheet.'!J10)/1000</f>
        <v>47649.137447</v>
      </c>
      <c r="J26" s="308">
        <f>+('3.1 Balance sheet.'!L25-'3.1 Balance sheet.'!L10)/1000</f>
        <v>41616.406</v>
      </c>
      <c r="K26" s="308">
        <f>+('3.1 Balance sheet.'!P24-'3.1 Balance sheet.'!P22)/1000</f>
        <v>41243.272744999995</v>
      </c>
      <c r="L26" s="308">
        <v>3.491676</v>
      </c>
      <c r="M26" s="308">
        <f>+('3.1 Balance sheet.'!R24-'3.1 Balance sheet.'!R22)/1000</f>
        <v>18757.458393</v>
      </c>
      <c r="N26" s="308">
        <f>+('3.1 Balance sheet.'!T24-'3.1 Balance sheet.'!T22)/1000</f>
        <v>18916.486633</v>
      </c>
      <c r="O26" s="308">
        <f>+('3.1 Balance sheet.'!V24-'3.1 Balance sheet.'!V22)/1000</f>
        <v>16997.128252</v>
      </c>
      <c r="P26" s="308">
        <v>15847.43127</v>
      </c>
      <c r="Q26" s="308">
        <f>+('3.1 Balance sheet.'!AA24-'3.1 Balance sheet.'!AA22)/1000</f>
        <v>14602.903968999999</v>
      </c>
      <c r="R26" s="308">
        <f>+('3.1 Balance sheet.'!AC24-'3.1 Balance sheet.'!AC22)/1000</f>
        <v>13868.557538000001</v>
      </c>
      <c r="S26" s="308">
        <f>+('3.1 Balance sheet.'!AD24-'3.1 Balance sheet.'!AD22)/1000</f>
        <v>11990.772425</v>
      </c>
      <c r="T26" s="308">
        <f>+('3.1 Balance sheet.'!AF24-'3.1 Balance sheet.'!AF22)/1000</f>
        <v>11685.473</v>
      </c>
      <c r="U26" s="308">
        <f>+('3.1 Balance sheet.'!AG24-'3.1 Balance sheet.'!AG22)/1000</f>
        <v>11465.671334999999</v>
      </c>
      <c r="V26" s="308">
        <f>+('3.1 Balance sheet.'!AH24-'3.1 Balance sheet.'!AH22)/1000</f>
        <v>10379.288731999999</v>
      </c>
      <c r="W26" s="308">
        <f>+('3.1 Balance sheet.'!AI24-'3.1 Balance sheet.'!AI22)/1000</f>
        <v>8958.596353999998</v>
      </c>
      <c r="X26" s="308">
        <f>+('3.1 Balance sheet.'!AK24-'3.1 Balance sheet.'!AK22+'3.1 Balance sheet.'!AK14)/1000</f>
        <v>9132.621052</v>
      </c>
      <c r="Y26" s="308">
        <f>+('3.1 Balance sheet.'!AM24-'3.1 Balance sheet.'!AM22)/1000</f>
        <v>8743.07938</v>
      </c>
      <c r="Z26" s="308">
        <f>+('3.1 Balance sheet.'!AO24-'3.1 Balance sheet.'!AO22)/1000</f>
        <v>8424.81139</v>
      </c>
      <c r="AA26" s="308">
        <f>+('3.1 Balance sheet.'!AQ24-'3.1 Balance sheet.'!AQ22)/1000</f>
        <v>7501.006055</v>
      </c>
      <c r="AB26" s="308">
        <f>+('3.1 Balance sheet.'!AR24-'3.1 Balance sheet.'!AR22+'3.1 Balance sheet.'!AR11)/1000</f>
        <v>6862.188199000001</v>
      </c>
      <c r="AC26" s="308">
        <f>+('3.1 Balance sheet.'!AT24-'3.1 Balance sheet.'!AT22)/1000</f>
        <v>6025.047161</v>
      </c>
      <c r="AD26" s="308">
        <f>+('3.1 Balance sheet.'!AV24-'3.1 Balance sheet.'!AV22)/1000</f>
        <v>6440.168</v>
      </c>
      <c r="AE26" s="308">
        <f>+('3.1 Balance sheet.'!AX24-'3.1 Balance sheet.'!AX22)/1000</f>
        <v>5929.2796849999995</v>
      </c>
      <c r="AF26" s="308">
        <f>+('3.1 Balance sheet.'!AY24-'3.1 Balance sheet.'!AY22)/1000</f>
        <v>5536.910441</v>
      </c>
      <c r="AG26" s="308">
        <f>+('3.1 Balance sheet.'!BA24-'3.1 Balance sheet.'!BA22)/1000</f>
        <v>4704.281091000001</v>
      </c>
      <c r="AH26" s="308">
        <f>+('3.1 Balance sheet.'!BB24-'3.1 Balance sheet.'!BB22)/1000</f>
        <v>4038.4558999999995</v>
      </c>
      <c r="AI26" s="308"/>
      <c r="AJ26" s="308">
        <f>+('3.1 Balance sheet.'!BF24-'3.1 Balance sheet.'!BF22)/1000</f>
        <v>3378.449466</v>
      </c>
      <c r="AK26" s="308">
        <f>+('3.1 Balance sheet.'!BH24-'3.1 Balance sheet.'!BH22)/1000</f>
        <v>3018.672588</v>
      </c>
      <c r="AL26" s="308">
        <f>+('3.1 Balance sheet.'!BJ24-'3.1 Balance sheet.'!BJ22)/1000</f>
        <v>2811.945079</v>
      </c>
      <c r="AM26" s="308">
        <f>+('3.1 Balance sheet.'!BK24-'3.1 Balance sheet.'!BK22)/1000</f>
        <v>2499.1266579999997</v>
      </c>
      <c r="AN26" s="308">
        <f>+('3.1 Balance sheet.'!BN24-'3.1 Balance sheet.'!BN22)/1000</f>
        <v>2354.187225</v>
      </c>
      <c r="AO26" s="308">
        <f>+('3.1 Balance sheet.'!BO24-'3.1 Balance sheet.'!BO22)/1000</f>
        <v>2008.833317</v>
      </c>
      <c r="AP26" s="308">
        <f>+('3.1 Balance sheet.'!BP24-'3.1 Balance sheet.'!BP22)/1000</f>
        <v>1932.842937</v>
      </c>
      <c r="AQ26" s="308">
        <f>+('3.1 Balance sheet.'!BQ24-'3.1 Balance sheet.'!BQ22)/1000</f>
        <v>1476.29009</v>
      </c>
      <c r="AR26" s="308">
        <f>+('3.1 Balance sheet.'!BR24-'3.1 Balance sheet.'!BR22)/1000</f>
        <v>1176.497852</v>
      </c>
      <c r="AS26" s="308">
        <v>0</v>
      </c>
      <c r="AT26" s="308">
        <f>+('3.1 Balance sheet.'!BV24-'3.1 Balance sheet.'!BV22)/1000</f>
        <v>1692.571679</v>
      </c>
      <c r="AU26" s="308">
        <f>+('3.1 Balance sheet.'!BW24-'3.1 Balance sheet.'!BW22)/1000</f>
        <v>1363.7266779999998</v>
      </c>
      <c r="AV26" s="308">
        <f>+('3.1 Balance sheet.'!BX24-'3.1 Balance sheet.'!BX22)/1000</f>
        <v>1205.560278</v>
      </c>
      <c r="AW26" s="308">
        <f>+('3.1 Balance sheet.'!BZ24-'3.1 Balance sheet.'!BZ22)/1000</f>
        <v>1201.880323</v>
      </c>
      <c r="AX26" s="308">
        <f>+('3.1 Balance sheet.'!CC24-'3.1 Balance sheet.'!CC22)/1000</f>
        <v>1189.8841710000002</v>
      </c>
      <c r="AY26" s="308">
        <f>+('3.1 Balance sheet.'!CD24-'3.1 Balance sheet.'!CD22)/1000</f>
        <v>1066.040475</v>
      </c>
      <c r="AZ26" s="308">
        <f>+('3.1 Balance sheet.'!CF24-'3.1 Balance sheet.'!CF22)/1000</f>
        <v>1055.209152</v>
      </c>
      <c r="BA26" s="308">
        <f>+('3.1 Balance sheet.'!CG24-'3.1 Balance sheet.'!CG22)/1000</f>
        <v>762.925755</v>
      </c>
      <c r="BB26" s="308">
        <f>+('3.1 Balance sheet.'!CH24-'3.1 Balance sheet.'!CH22)/1000</f>
        <v>638.4049880000001</v>
      </c>
      <c r="BC26" s="308">
        <f>+('3.1 Balance sheet.'!CI24-'3.1 Balance sheet.'!CI22)/1000</f>
        <v>589.5806110000001</v>
      </c>
      <c r="BD26" s="308">
        <f>+('3.1 Balance sheet.'!CJ24-'3.1 Balance sheet.'!CJ22)/1000</f>
        <v>428.765759</v>
      </c>
      <c r="BE26" s="308">
        <f>+('3.1 Balance sheet.'!CK24-'3.1 Balance sheet.'!CK22)/1000</f>
        <v>462.636797</v>
      </c>
      <c r="BF26" s="308">
        <f>+('3.1 Balance sheet.'!CL24-'3.1 Balance sheet.'!CL22)/1000</f>
        <v>401.821896</v>
      </c>
      <c r="BG26" s="308">
        <f>+('3.1 Balance sheet.'!CM24-'3.1 Balance sheet.'!CM22)/1000</f>
        <v>236.88477100000003</v>
      </c>
      <c r="BH26" s="308">
        <f>+('3.1 Balance sheet.'!CN24-'3.1 Balance sheet.'!CN22)/1000</f>
        <v>115.867338</v>
      </c>
      <c r="BI26" s="308">
        <f>+('3.1 Balance sheet.'!CO24-'3.1 Balance sheet.'!CO22)/1000</f>
        <v>83.317417</v>
      </c>
      <c r="BJ26" s="308">
        <f>+('3.1 Balance sheet.'!CP24-'3.1 Balance sheet.'!CP22)/1000</f>
        <v>73.86613799999999</v>
      </c>
      <c r="BK26" s="308">
        <f>+('3.1 Balance sheet.'!CR24-'3.1 Balance sheet.'!CR22)/1000</f>
        <v>54.898875</v>
      </c>
      <c r="BL26" s="308">
        <f>+('3.1 Balance sheet.'!CS24-'3.1 Balance sheet.'!CS22)/1000</f>
        <v>7.96782</v>
      </c>
      <c r="BM26" s="308"/>
      <c r="BN26" s="308">
        <f>+'3.1 Balance sheet.'!CV24/1000</f>
        <v>557843.1767820002</v>
      </c>
      <c r="BO26" s="119">
        <f>+D26+E26+F26+G26+H26+AA26+AL26+AN26+AR26+AS26+AU26+AW26+AZ26+BA26+BD26+BG26+BH26+BI26+BK26</f>
        <v>95025.29127900001</v>
      </c>
      <c r="BP26" s="119">
        <f>+C26+I26+J26+K26+L26+M26+N26+O26+P26+Q26+R26+S26+T26+U26+V26+W26+X26+Y26+Z26+AB26+AC26+AD26+AE26+AF26+AG26+AH26+AI26+AJ26+AK26+AM26+AO26+AP26+AQ26+AT26+AV26+AX26+AY26+BB26+BC26+BE26+BF26+BJ26+BL26</f>
        <v>456344.6205380001</v>
      </c>
      <c r="BQ26" s="119"/>
      <c r="BR26" s="119"/>
      <c r="BS26" s="119"/>
      <c r="BT26" s="119"/>
      <c r="BU26" s="119"/>
      <c r="BV26" s="119"/>
      <c r="BW26" s="119"/>
      <c r="BX26" s="119"/>
      <c r="BY26" s="119"/>
    </row>
    <row r="27" spans="1:77" s="309" customFormat="1" ht="12.75" hidden="1">
      <c r="A27" s="246"/>
      <c r="B27" s="301"/>
      <c r="C27" s="308">
        <f>+C25-C26</f>
        <v>0.8474390000046697</v>
      </c>
      <c r="D27" s="308">
        <f aca="true" t="shared" si="8" ref="D27:BL27">+D25-D26</f>
        <v>-8.563999999998487</v>
      </c>
      <c r="E27" s="308">
        <f t="shared" si="8"/>
        <v>0.8410000000003492</v>
      </c>
      <c r="F27" s="308">
        <f t="shared" si="8"/>
        <v>0.18499999999999872</v>
      </c>
      <c r="G27" s="308">
        <f t="shared" si="8"/>
        <v>0</v>
      </c>
      <c r="H27" s="308">
        <f t="shared" si="8"/>
        <v>-11.64100000000002</v>
      </c>
      <c r="I27" s="308">
        <f t="shared" si="8"/>
        <v>-46.137447000000975</v>
      </c>
      <c r="J27" s="308">
        <f t="shared" si="8"/>
        <v>77.59399999999732</v>
      </c>
      <c r="K27" s="308">
        <f t="shared" si="8"/>
        <v>-18.272744999994757</v>
      </c>
      <c r="L27" s="308">
        <f t="shared" si="8"/>
        <v>-0.491676</v>
      </c>
      <c r="M27" s="308">
        <f t="shared" si="8"/>
        <v>-16.458393000000797</v>
      </c>
      <c r="N27" s="308">
        <f t="shared" si="8"/>
        <v>-0.4866330000004382</v>
      </c>
      <c r="O27" s="308">
        <f t="shared" si="8"/>
        <v>-0.1282519999986107</v>
      </c>
      <c r="P27" s="308">
        <f t="shared" si="8"/>
        <v>-0.43126999999913096</v>
      </c>
      <c r="Q27" s="308">
        <f t="shared" si="8"/>
        <v>0.09603100000094855</v>
      </c>
      <c r="R27" s="308">
        <f t="shared" si="8"/>
        <v>-87.55753800000093</v>
      </c>
      <c r="S27" s="308">
        <f t="shared" si="8"/>
        <v>42.2275750000008</v>
      </c>
      <c r="T27" s="308">
        <f t="shared" si="8"/>
        <v>20.527000000000044</v>
      </c>
      <c r="U27" s="308">
        <f t="shared" si="8"/>
        <v>-10.67133499999909</v>
      </c>
      <c r="V27" s="308">
        <f t="shared" si="8"/>
        <v>-36.28873199999907</v>
      </c>
      <c r="W27" s="308">
        <f t="shared" si="8"/>
        <v>-26.59635399999752</v>
      </c>
      <c r="X27" s="308">
        <f t="shared" si="8"/>
        <v>-6.621052000000418</v>
      </c>
      <c r="Y27" s="308">
        <f t="shared" si="8"/>
        <v>0.645620000001145</v>
      </c>
      <c r="Z27" s="308">
        <f t="shared" si="8"/>
        <v>48.188609999999244</v>
      </c>
      <c r="AA27" s="308">
        <f t="shared" si="8"/>
        <v>30.993945000000167</v>
      </c>
      <c r="AB27" s="308">
        <f t="shared" si="8"/>
        <v>10.811800999998923</v>
      </c>
      <c r="AC27" s="308">
        <f t="shared" si="8"/>
        <v>605.9528389999996</v>
      </c>
      <c r="AD27" s="308">
        <f t="shared" si="8"/>
        <v>-1.1679999999996653</v>
      </c>
      <c r="AE27" s="308">
        <f t="shared" si="8"/>
        <v>-41.27968499999952</v>
      </c>
      <c r="AF27" s="308">
        <f t="shared" si="8"/>
        <v>35.08955900000001</v>
      </c>
      <c r="AG27" s="308">
        <f t="shared" si="8"/>
        <v>-0.2810910000007425</v>
      </c>
      <c r="AH27" s="308">
        <f t="shared" si="8"/>
        <v>8.544100000000526</v>
      </c>
      <c r="AI27" s="308"/>
      <c r="AJ27" s="308">
        <f t="shared" si="8"/>
        <v>-14.44946600000003</v>
      </c>
      <c r="AK27" s="308">
        <f t="shared" si="8"/>
        <v>-49.672587999999905</v>
      </c>
      <c r="AL27" s="308">
        <f t="shared" si="8"/>
        <v>-126.94507900000008</v>
      </c>
      <c r="AM27" s="308">
        <f t="shared" si="8"/>
        <v>-146.12665799999968</v>
      </c>
      <c r="AN27" s="308">
        <f t="shared" si="8"/>
        <v>11.812774999999874</v>
      </c>
      <c r="AO27" s="308">
        <f t="shared" si="8"/>
        <v>7.166682999999921</v>
      </c>
      <c r="AP27" s="308">
        <f t="shared" si="8"/>
        <v>7.157063000000107</v>
      </c>
      <c r="AQ27" s="308">
        <f t="shared" si="8"/>
        <v>-11.290089999999964</v>
      </c>
      <c r="AR27" s="308">
        <f t="shared" si="8"/>
        <v>-20.497851999999966</v>
      </c>
      <c r="AS27" s="308">
        <f t="shared" si="8"/>
        <v>17</v>
      </c>
      <c r="AT27" s="308">
        <f t="shared" si="8"/>
        <v>-4.571678999999904</v>
      </c>
      <c r="AU27" s="308">
        <f t="shared" si="8"/>
        <v>-0.7266779999997652</v>
      </c>
      <c r="AV27" s="308">
        <f t="shared" si="8"/>
        <v>0.43972200000007433</v>
      </c>
      <c r="AW27" s="308">
        <f t="shared" si="8"/>
        <v>18.11967699999991</v>
      </c>
      <c r="AX27" s="308">
        <f t="shared" si="8"/>
        <v>6.115828999999849</v>
      </c>
      <c r="AY27" s="308">
        <f t="shared" si="8"/>
        <v>9.959524999999985</v>
      </c>
      <c r="AZ27" s="308">
        <f t="shared" si="8"/>
        <v>0.7908480000000964</v>
      </c>
      <c r="BA27" s="308">
        <f t="shared" si="8"/>
        <v>2.074245000000019</v>
      </c>
      <c r="BB27" s="308">
        <f t="shared" si="8"/>
        <v>5.595011999999883</v>
      </c>
      <c r="BC27" s="308">
        <f t="shared" si="8"/>
        <v>3.41938899999991</v>
      </c>
      <c r="BD27" s="308">
        <f t="shared" si="8"/>
        <v>0.23424099999999726</v>
      </c>
      <c r="BE27" s="308">
        <f t="shared" si="8"/>
        <v>0.3632029999999986</v>
      </c>
      <c r="BF27" s="308">
        <f t="shared" si="8"/>
        <v>-0.8218959999999811</v>
      </c>
      <c r="BG27" s="308">
        <f t="shared" si="8"/>
        <v>-0.8847710000000291</v>
      </c>
      <c r="BH27" s="308">
        <f t="shared" si="8"/>
        <v>0.2326619999999906</v>
      </c>
      <c r="BI27" s="308">
        <f t="shared" si="8"/>
        <v>-0.31741700000000606</v>
      </c>
      <c r="BJ27" s="308">
        <f t="shared" si="8"/>
        <v>0.1338620000000077</v>
      </c>
      <c r="BK27" s="308">
        <f t="shared" si="8"/>
        <v>0.10112500000000324</v>
      </c>
      <c r="BL27" s="308">
        <f t="shared" si="8"/>
        <v>0.03218000000000032</v>
      </c>
      <c r="BM27" s="308"/>
      <c r="BN27" s="308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</row>
    <row r="28" spans="2:77" s="309" customFormat="1" ht="18" customHeight="1">
      <c r="B28" s="246" t="s">
        <v>561</v>
      </c>
      <c r="C28" s="308">
        <v>19984</v>
      </c>
      <c r="D28" s="308">
        <v>10131</v>
      </c>
      <c r="E28" s="308">
        <v>3532</v>
      </c>
      <c r="F28" s="308">
        <v>0</v>
      </c>
      <c r="G28" s="308">
        <v>0</v>
      </c>
      <c r="H28" s="308">
        <v>160</v>
      </c>
      <c r="I28" s="308">
        <v>10988</v>
      </c>
      <c r="J28" s="308">
        <v>16442</v>
      </c>
      <c r="K28" s="308">
        <v>8531</v>
      </c>
      <c r="L28" s="308">
        <v>0</v>
      </c>
      <c r="M28" s="308">
        <v>5667</v>
      </c>
      <c r="N28" s="308">
        <v>2617</v>
      </c>
      <c r="O28" s="308">
        <v>3055</v>
      </c>
      <c r="P28" s="308">
        <v>3655</v>
      </c>
      <c r="Q28" s="308">
        <v>1586</v>
      </c>
      <c r="R28" s="308">
        <v>3219</v>
      </c>
      <c r="S28" s="308">
        <v>3753</v>
      </c>
      <c r="T28" s="308">
        <v>3272</v>
      </c>
      <c r="U28" s="308">
        <v>2881</v>
      </c>
      <c r="V28" s="308">
        <v>3436</v>
      </c>
      <c r="W28" s="308">
        <v>4223</v>
      </c>
      <c r="X28" s="308">
        <v>2431</v>
      </c>
      <c r="Y28" s="308">
        <v>2893</v>
      </c>
      <c r="Z28" s="308">
        <v>2617</v>
      </c>
      <c r="AA28" s="308">
        <v>1592</v>
      </c>
      <c r="AB28" s="308">
        <v>996</v>
      </c>
      <c r="AC28" s="308">
        <v>672</v>
      </c>
      <c r="AD28" s="308">
        <v>1932</v>
      </c>
      <c r="AE28" s="308">
        <v>309</v>
      </c>
      <c r="AF28" s="308">
        <v>1688</v>
      </c>
      <c r="AG28" s="308">
        <v>2258</v>
      </c>
      <c r="AH28" s="308">
        <v>672</v>
      </c>
      <c r="AI28" s="308"/>
      <c r="AJ28" s="308">
        <v>1117</v>
      </c>
      <c r="AK28" s="308">
        <v>173.7</v>
      </c>
      <c r="AL28" s="308">
        <v>239</v>
      </c>
      <c r="AM28" s="308">
        <v>169</v>
      </c>
      <c r="AN28" s="308">
        <v>612</v>
      </c>
      <c r="AO28" s="308">
        <v>324</v>
      </c>
      <c r="AP28" s="308">
        <v>377</v>
      </c>
      <c r="AQ28" s="308">
        <v>3</v>
      </c>
      <c r="AR28" s="308">
        <v>300</v>
      </c>
      <c r="AS28" s="308">
        <v>5</v>
      </c>
      <c r="AT28" s="308">
        <v>364</v>
      </c>
      <c r="AU28" s="308">
        <v>387</v>
      </c>
      <c r="AV28" s="308">
        <v>267</v>
      </c>
      <c r="AW28" s="308">
        <v>338</v>
      </c>
      <c r="AX28" s="308">
        <v>196</v>
      </c>
      <c r="AY28" s="308">
        <v>148</v>
      </c>
      <c r="AZ28" s="308">
        <v>201</v>
      </c>
      <c r="BA28" s="308">
        <v>10</v>
      </c>
      <c r="BB28" s="308">
        <v>140</v>
      </c>
      <c r="BC28" s="308">
        <v>11</v>
      </c>
      <c r="BD28" s="308">
        <v>53</v>
      </c>
      <c r="BE28" s="308">
        <v>28</v>
      </c>
      <c r="BF28" s="308">
        <v>0</v>
      </c>
      <c r="BG28" s="308">
        <v>3</v>
      </c>
      <c r="BH28" s="308">
        <v>14</v>
      </c>
      <c r="BI28" s="308">
        <v>0</v>
      </c>
      <c r="BJ28" s="308">
        <v>0</v>
      </c>
      <c r="BK28" s="308">
        <v>0</v>
      </c>
      <c r="BL28" s="308">
        <v>0</v>
      </c>
      <c r="BM28" s="308"/>
      <c r="BN28" s="308">
        <f>SUM(C28:BM28)</f>
        <v>130671.7</v>
      </c>
      <c r="BO28" s="119">
        <f>+D28+E28+F28+G28+H28+AA28+AL28+AN28+AR28+AS28+AU28+AW28+AZ28+BA28+BD28+BG28+BH28+BI28+BK28</f>
        <v>17577</v>
      </c>
      <c r="BP28" s="119">
        <f>+C28+I28+J28+K28+L28+M28+N28+O28+P28+Q28+R28+S28+T28+U28+V28+W28+X28+Y28+Z28+AB28+AC28+AD28+AE28+AF28+AG28+AH28+AI28+AJ28+AK28+AM28+AO28+AP28+AQ28+AT28+AV28+AX28+AY28+BB28+BC28+BE28+BF28+BJ28+BL28</f>
        <v>113094.7</v>
      </c>
      <c r="BQ28" s="119"/>
      <c r="BR28" s="119"/>
      <c r="BS28" s="119"/>
      <c r="BT28" s="119"/>
      <c r="BU28" s="119"/>
      <c r="BV28" s="119"/>
      <c r="BW28" s="119"/>
      <c r="BX28" s="119"/>
      <c r="BY28" s="119"/>
    </row>
    <row r="29" spans="2:77" s="309" customFormat="1" ht="19.5" customHeight="1">
      <c r="B29" s="246" t="s">
        <v>562</v>
      </c>
      <c r="C29" s="308">
        <v>10046</v>
      </c>
      <c r="D29" s="308">
        <v>2113</v>
      </c>
      <c r="E29" s="308">
        <v>592</v>
      </c>
      <c r="F29" s="308">
        <v>0</v>
      </c>
      <c r="G29" s="308">
        <v>0</v>
      </c>
      <c r="H29" s="308">
        <v>5</v>
      </c>
      <c r="I29" s="308">
        <v>5828</v>
      </c>
      <c r="J29" s="308">
        <v>2940</v>
      </c>
      <c r="K29" s="308">
        <v>4374</v>
      </c>
      <c r="L29" s="308">
        <v>0</v>
      </c>
      <c r="M29" s="308">
        <v>2159</v>
      </c>
      <c r="N29" s="308">
        <v>598</v>
      </c>
      <c r="O29" s="308">
        <v>2226</v>
      </c>
      <c r="P29" s="308">
        <v>927</v>
      </c>
      <c r="Q29" s="308">
        <v>2570</v>
      </c>
      <c r="R29" s="308">
        <v>4156</v>
      </c>
      <c r="S29" s="308">
        <v>1442</v>
      </c>
      <c r="T29" s="308">
        <v>865</v>
      </c>
      <c r="U29" s="308">
        <v>1958</v>
      </c>
      <c r="V29" s="308">
        <v>238</v>
      </c>
      <c r="W29" s="308">
        <v>761</v>
      </c>
      <c r="X29" s="308">
        <v>1222</v>
      </c>
      <c r="Y29" s="308">
        <v>330</v>
      </c>
      <c r="Z29" s="308">
        <v>678</v>
      </c>
      <c r="AA29" s="308">
        <v>621</v>
      </c>
      <c r="AB29" s="308">
        <v>1530</v>
      </c>
      <c r="AC29" s="308">
        <v>215</v>
      </c>
      <c r="AD29" s="308">
        <v>587</v>
      </c>
      <c r="AE29" s="308">
        <v>1993</v>
      </c>
      <c r="AF29" s="308">
        <v>485</v>
      </c>
      <c r="AG29" s="308">
        <v>311</v>
      </c>
      <c r="AH29" s="308">
        <v>0</v>
      </c>
      <c r="AI29" s="308"/>
      <c r="AJ29" s="308">
        <v>1245</v>
      </c>
      <c r="AK29" s="308">
        <v>33</v>
      </c>
      <c r="AL29" s="308">
        <v>799</v>
      </c>
      <c r="AM29" s="308">
        <v>607</v>
      </c>
      <c r="AN29" s="308">
        <v>146</v>
      </c>
      <c r="AO29" s="308">
        <v>94</v>
      </c>
      <c r="AP29" s="308">
        <v>420</v>
      </c>
      <c r="AQ29" s="308">
        <v>1197</v>
      </c>
      <c r="AR29" s="308">
        <v>33</v>
      </c>
      <c r="AS29" s="308">
        <v>0</v>
      </c>
      <c r="AT29" s="308">
        <v>210</v>
      </c>
      <c r="AU29" s="308">
        <v>241</v>
      </c>
      <c r="AV29" s="308">
        <v>148</v>
      </c>
      <c r="AW29" s="308">
        <v>70</v>
      </c>
      <c r="AX29" s="308">
        <v>78</v>
      </c>
      <c r="AY29" s="308">
        <v>59</v>
      </c>
      <c r="AZ29" s="308">
        <v>157</v>
      </c>
      <c r="BA29" s="308">
        <v>156</v>
      </c>
      <c r="BB29" s="308">
        <v>211</v>
      </c>
      <c r="BC29" s="308">
        <v>90</v>
      </c>
      <c r="BD29" s="308">
        <v>96</v>
      </c>
      <c r="BE29" s="308">
        <v>26</v>
      </c>
      <c r="BF29" s="308">
        <v>0</v>
      </c>
      <c r="BG29" s="308">
        <v>114</v>
      </c>
      <c r="BH29" s="308">
        <v>7</v>
      </c>
      <c r="BI29" s="308">
        <v>0</v>
      </c>
      <c r="BJ29" s="308">
        <v>0</v>
      </c>
      <c r="BK29" s="308">
        <v>10</v>
      </c>
      <c r="BL29" s="308">
        <v>0</v>
      </c>
      <c r="BM29" s="308"/>
      <c r="BN29" s="308">
        <f>SUM(C29:BM29)</f>
        <v>58017</v>
      </c>
      <c r="BO29" s="119">
        <f>+D29+E29+F29+G29+H29+AA29+AL29+AN29+AR29+AS29+AU29+AW29+AZ29+BA29+BD29+BG29+BH29+BI29+BK29</f>
        <v>5160</v>
      </c>
      <c r="BP29" s="119">
        <f>+C29+I29+J29+K29+L29+M29+N29+O29+P29+Q29+R29+S29+T29+U29+V29+W29+X29+Y29+Z29+AB29+AC29+AD29+AE29+AF29+AG29+AH29+AI29+AJ29+AK29+AM29+AO29+AP29+AQ29+AT29+AV29+AX29+AY29+BB29+BC29+BE29+BF29+BJ29+BL29</f>
        <v>52857</v>
      </c>
      <c r="BQ29" s="119"/>
      <c r="BR29" s="119"/>
      <c r="BS29" s="119"/>
      <c r="BT29" s="119"/>
      <c r="BU29" s="119"/>
      <c r="BV29" s="119"/>
      <c r="BW29" s="119"/>
      <c r="BX29" s="119"/>
      <c r="BY29" s="119"/>
    </row>
    <row r="30" spans="1:77" s="309" customFormat="1" ht="18" customHeight="1">
      <c r="A30" s="301"/>
      <c r="B30" s="246" t="s">
        <v>592</v>
      </c>
      <c r="C30" s="308">
        <v>10840</v>
      </c>
      <c r="D30" s="308">
        <v>3455</v>
      </c>
      <c r="E30" s="308">
        <v>452</v>
      </c>
      <c r="F30" s="308">
        <v>0</v>
      </c>
      <c r="G30" s="308">
        <v>0</v>
      </c>
      <c r="H30" s="308">
        <v>390</v>
      </c>
      <c r="I30" s="308">
        <v>2302</v>
      </c>
      <c r="J30" s="308">
        <v>10350</v>
      </c>
      <c r="K30" s="308">
        <v>4104</v>
      </c>
      <c r="L30" s="308">
        <v>3</v>
      </c>
      <c r="M30" s="308">
        <v>2526</v>
      </c>
      <c r="N30" s="308">
        <v>2583</v>
      </c>
      <c r="O30" s="308">
        <v>11354</v>
      </c>
      <c r="P30" s="308">
        <v>1927</v>
      </c>
      <c r="Q30" s="308">
        <v>1278</v>
      </c>
      <c r="R30" s="308">
        <v>3159</v>
      </c>
      <c r="S30" s="308">
        <v>1638</v>
      </c>
      <c r="T30" s="308">
        <v>5418</v>
      </c>
      <c r="U30" s="308">
        <v>5925</v>
      </c>
      <c r="V30" s="308">
        <v>5374</v>
      </c>
      <c r="W30" s="308">
        <v>195</v>
      </c>
      <c r="X30" s="308">
        <v>1248</v>
      </c>
      <c r="Y30" s="308">
        <v>688</v>
      </c>
      <c r="Z30" s="308">
        <v>7646</v>
      </c>
      <c r="AA30" s="308">
        <v>584</v>
      </c>
      <c r="AB30" s="308">
        <v>0</v>
      </c>
      <c r="AC30" s="308">
        <v>1451</v>
      </c>
      <c r="AD30" s="308">
        <v>2520</v>
      </c>
      <c r="AE30" s="308">
        <v>607</v>
      </c>
      <c r="AF30" s="308">
        <v>4346</v>
      </c>
      <c r="AG30" s="308">
        <v>3016</v>
      </c>
      <c r="AH30" s="308">
        <v>2503</v>
      </c>
      <c r="AI30" s="308"/>
      <c r="AJ30" s="308">
        <v>357</v>
      </c>
      <c r="AK30" s="308">
        <v>174</v>
      </c>
      <c r="AL30" s="308">
        <v>398</v>
      </c>
      <c r="AM30" s="308">
        <v>127</v>
      </c>
      <c r="AN30" s="308">
        <v>2167</v>
      </c>
      <c r="AO30" s="308">
        <v>573</v>
      </c>
      <c r="AP30" s="308">
        <v>981</v>
      </c>
      <c r="AQ30" s="308">
        <v>11</v>
      </c>
      <c r="AR30" s="308">
        <v>556</v>
      </c>
      <c r="AS30" s="308">
        <v>16</v>
      </c>
      <c r="AT30" s="308">
        <v>703</v>
      </c>
      <c r="AU30" s="308">
        <v>502</v>
      </c>
      <c r="AV30" s="308">
        <v>247</v>
      </c>
      <c r="AW30" s="308">
        <v>266</v>
      </c>
      <c r="AX30" s="308">
        <v>466</v>
      </c>
      <c r="AY30" s="308">
        <v>518</v>
      </c>
      <c r="AZ30" s="308">
        <v>247</v>
      </c>
      <c r="BA30" s="308">
        <v>243</v>
      </c>
      <c r="BB30" s="308">
        <v>244</v>
      </c>
      <c r="BC30" s="308">
        <v>240</v>
      </c>
      <c r="BD30" s="308">
        <v>119</v>
      </c>
      <c r="BE30" s="308">
        <v>289</v>
      </c>
      <c r="BF30" s="308">
        <v>0</v>
      </c>
      <c r="BG30" s="308">
        <v>9</v>
      </c>
      <c r="BH30" s="308">
        <v>14</v>
      </c>
      <c r="BI30" s="308">
        <v>0</v>
      </c>
      <c r="BJ30" s="308">
        <v>0</v>
      </c>
      <c r="BK30" s="308">
        <v>0</v>
      </c>
      <c r="BL30" s="308">
        <v>0</v>
      </c>
      <c r="BM30" s="308"/>
      <c r="BN30" s="308">
        <f>SUM(C30:BM30)</f>
        <v>107349</v>
      </c>
      <c r="BO30" s="119">
        <f>+D30+E30+F30+G30+H30+AA30+AL30+AN30+AR30+AS30+AU30+AW30+AZ30+BA30+BD30+BG30+BH30+BI30+BK30</f>
        <v>9418</v>
      </c>
      <c r="BP30" s="119">
        <f>+C30+I30+J30+K30+L30+M30+N30+O30+P30+Q30+R30+S30+T30+U30+V30+W30+X30+Y30+Z30+AB30+AC30+AD30+AE30+AF30+AG30+AH30+AI30+AJ30+AK30+AM30+AO30+AP30+AQ30+AT30+AV30+AX30+AY30+BB30+BC30+BE30+BF30+BJ30+BL30</f>
        <v>97931</v>
      </c>
      <c r="BQ30" s="119"/>
      <c r="BR30" s="119"/>
      <c r="BS30" s="119"/>
      <c r="BT30" s="119"/>
      <c r="BU30" s="119"/>
      <c r="BV30" s="119"/>
      <c r="BW30" s="119"/>
      <c r="BX30" s="119"/>
      <c r="BY30" s="119"/>
    </row>
    <row r="31" spans="3:64" ht="12.75">
      <c r="C31" s="314"/>
      <c r="D31" s="314"/>
      <c r="E31" s="314"/>
      <c r="F31" s="314"/>
      <c r="G31" s="314"/>
      <c r="H31" s="314"/>
      <c r="L31" s="314"/>
      <c r="N31" s="314"/>
      <c r="V31" s="314"/>
      <c r="X31" s="314"/>
      <c r="AF31" s="314"/>
      <c r="AH31" s="314"/>
      <c r="AP31" s="314"/>
      <c r="AR31" s="314"/>
      <c r="AS31" s="314"/>
      <c r="AZ31" s="314"/>
      <c r="BB31" s="314"/>
      <c r="BJ31" s="314"/>
      <c r="BL31" s="314"/>
    </row>
    <row r="32" spans="3:64" ht="12.75">
      <c r="C32" s="314"/>
      <c r="D32" s="314"/>
      <c r="E32" s="314"/>
      <c r="F32" s="314"/>
      <c r="G32" s="314"/>
      <c r="H32" s="314"/>
      <c r="L32" s="314"/>
      <c r="N32" s="314"/>
      <c r="V32" s="314"/>
      <c r="X32" s="314"/>
      <c r="AF32" s="314"/>
      <c r="AH32" s="314"/>
      <c r="AP32" s="314"/>
      <c r="AR32" s="314"/>
      <c r="AS32" s="314"/>
      <c r="AZ32" s="314"/>
      <c r="BB32" s="314"/>
      <c r="BJ32" s="314"/>
      <c r="BL32" s="314"/>
    </row>
    <row r="33" spans="3:64" ht="12.75">
      <c r="C33" s="314"/>
      <c r="D33" s="314"/>
      <c r="E33" s="314"/>
      <c r="F33" s="314"/>
      <c r="G33" s="314"/>
      <c r="H33" s="314"/>
      <c r="L33" s="314"/>
      <c r="N33" s="314"/>
      <c r="V33" s="314"/>
      <c r="X33" s="314"/>
      <c r="AF33" s="314"/>
      <c r="AH33" s="314"/>
      <c r="AP33" s="314"/>
      <c r="AR33" s="314"/>
      <c r="AS33" s="314"/>
      <c r="AZ33" s="314"/>
      <c r="BB33" s="314"/>
      <c r="BJ33" s="314"/>
      <c r="BL33" s="314"/>
    </row>
    <row r="34" spans="3:64" ht="12.75">
      <c r="C34" s="314"/>
      <c r="D34" s="314"/>
      <c r="E34" s="314"/>
      <c r="F34" s="314"/>
      <c r="G34" s="314"/>
      <c r="H34" s="314"/>
      <c r="L34" s="314"/>
      <c r="N34" s="314"/>
      <c r="V34" s="314"/>
      <c r="X34" s="314"/>
      <c r="AF34" s="314"/>
      <c r="AH34" s="314"/>
      <c r="AP34" s="314"/>
      <c r="AR34" s="314"/>
      <c r="AS34" s="314"/>
      <c r="AZ34" s="314"/>
      <c r="BB34" s="314"/>
      <c r="BJ34" s="314"/>
      <c r="BL34" s="314"/>
    </row>
    <row r="35" spans="14:64" ht="12.75">
      <c r="N35" s="314"/>
      <c r="X35" s="314"/>
      <c r="AH35" s="314"/>
      <c r="AR35" s="314"/>
      <c r="BB35" s="314"/>
      <c r="BL35" s="314"/>
    </row>
  </sheetData>
  <printOptions/>
  <pageMargins left="0.7480314960629921" right="0.5511811023622047" top="0.9055118110236221" bottom="0.1968503937007874" header="0.5118110236220472" footer="0.5118110236220472"/>
  <pageSetup firstPageNumber="77" useFirstPageNumber="1" horizontalDpi="600" verticalDpi="600" orientation="landscape" paperSize="9" r:id="rId1"/>
  <headerFooter alignWithMargins="0">
    <oddHeader>&amp;C&amp;"Times New Roman,Bold"&amp;14 4.1. SPECIFICATION OF INVESTMENT AS OF 31 DECEMBER 2000 IN ACCORDANCE WITH ACT 129/1997</oddHeader>
    <oddFooter>&amp;R&amp;"Times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EG10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2.75"/>
  <cols>
    <col min="1" max="1" width="25.75390625" style="0" customWidth="1"/>
    <col min="90" max="93" width="9.625" style="0" customWidth="1"/>
    <col min="94" max="95" width="8.375" style="0" customWidth="1"/>
    <col min="96" max="96" width="10.50390625" style="0" customWidth="1"/>
    <col min="97" max="98" width="10.375" style="0" customWidth="1"/>
    <col min="99" max="99" width="3.25390625" style="0" customWidth="1"/>
    <col min="100" max="100" width="9.50390625" style="0" customWidth="1"/>
    <col min="101" max="101" width="2.625" style="0" customWidth="1"/>
    <col min="102" max="102" width="9.625" style="0" customWidth="1"/>
    <col min="103" max="103" width="10.00390625" style="0" customWidth="1"/>
  </cols>
  <sheetData>
    <row r="1" spans="1:104" ht="12.75" customHeight="1">
      <c r="A1" s="44"/>
      <c r="B1" s="41" t="s">
        <v>0</v>
      </c>
      <c r="C1" s="41"/>
      <c r="D1" s="41" t="s">
        <v>0</v>
      </c>
      <c r="E1" s="41" t="s">
        <v>0</v>
      </c>
      <c r="F1" s="41" t="s">
        <v>0</v>
      </c>
      <c r="G1" s="41" t="s">
        <v>0</v>
      </c>
      <c r="H1" s="41" t="s">
        <v>0</v>
      </c>
      <c r="I1" s="41"/>
      <c r="J1" s="41" t="s">
        <v>0</v>
      </c>
      <c r="K1" s="41"/>
      <c r="L1" s="41" t="s">
        <v>1</v>
      </c>
      <c r="M1" s="41" t="s">
        <v>1</v>
      </c>
      <c r="N1" s="41" t="s">
        <v>1</v>
      </c>
      <c r="O1" s="41"/>
      <c r="P1" s="41" t="s">
        <v>0</v>
      </c>
      <c r="Q1" s="41"/>
      <c r="R1" s="41" t="s">
        <v>0</v>
      </c>
      <c r="S1" s="41"/>
      <c r="T1" s="41" t="s">
        <v>2</v>
      </c>
      <c r="U1" s="41"/>
      <c r="V1" s="41" t="s">
        <v>0</v>
      </c>
      <c r="W1" s="41" t="s">
        <v>0</v>
      </c>
      <c r="X1" s="41" t="s">
        <v>0</v>
      </c>
      <c r="Y1" s="41" t="s">
        <v>0</v>
      </c>
      <c r="Z1" s="41"/>
      <c r="AA1" s="41" t="s">
        <v>3</v>
      </c>
      <c r="AB1" s="41"/>
      <c r="AC1" s="41" t="s">
        <v>0</v>
      </c>
      <c r="AD1" s="41" t="s">
        <v>0</v>
      </c>
      <c r="AE1" s="41"/>
      <c r="AF1" s="41" t="s">
        <v>0</v>
      </c>
      <c r="AG1" s="41" t="s">
        <v>0</v>
      </c>
      <c r="AH1" s="41" t="s">
        <v>0</v>
      </c>
      <c r="AI1" s="42" t="s">
        <v>0</v>
      </c>
      <c r="AJ1" s="42"/>
      <c r="AK1" s="41" t="s">
        <v>0</v>
      </c>
      <c r="AL1" s="41"/>
      <c r="AM1" s="41" t="s">
        <v>5</v>
      </c>
      <c r="AN1" s="41"/>
      <c r="AO1" s="41" t="s">
        <v>7</v>
      </c>
      <c r="AP1" s="41"/>
      <c r="AQ1" s="41" t="s">
        <v>0</v>
      </c>
      <c r="AR1" s="41" t="s">
        <v>0</v>
      </c>
      <c r="AS1" s="41"/>
      <c r="AT1" s="41" t="s">
        <v>265</v>
      </c>
      <c r="AU1" s="41"/>
      <c r="AV1" s="41" t="s">
        <v>6</v>
      </c>
      <c r="AW1" s="41"/>
      <c r="AX1" s="41" t="s">
        <v>0</v>
      </c>
      <c r="AY1" s="41" t="s">
        <v>0</v>
      </c>
      <c r="AZ1" s="41"/>
      <c r="BA1" s="41" t="s">
        <v>0</v>
      </c>
      <c r="BB1" s="41" t="s">
        <v>8</v>
      </c>
      <c r="BC1" s="41"/>
      <c r="BD1" s="41" t="s">
        <v>0</v>
      </c>
      <c r="BE1" s="41"/>
      <c r="BF1" s="41" t="s">
        <v>6</v>
      </c>
      <c r="BG1" s="41"/>
      <c r="BH1" s="41" t="s">
        <v>0</v>
      </c>
      <c r="BI1" s="41"/>
      <c r="BJ1" s="41" t="s">
        <v>0</v>
      </c>
      <c r="BK1" s="41" t="s">
        <v>0</v>
      </c>
      <c r="BL1" s="41" t="s">
        <v>0</v>
      </c>
      <c r="BM1" s="41" t="s">
        <v>0</v>
      </c>
      <c r="BN1" s="41" t="s">
        <v>4</v>
      </c>
      <c r="BO1" s="41" t="s">
        <v>0</v>
      </c>
      <c r="BP1" s="41" t="s">
        <v>0</v>
      </c>
      <c r="BQ1" s="41" t="s">
        <v>0</v>
      </c>
      <c r="BR1" s="41" t="s">
        <v>0</v>
      </c>
      <c r="BS1" s="41" t="s">
        <v>0</v>
      </c>
      <c r="BT1" s="41" t="s">
        <v>0</v>
      </c>
      <c r="BU1" s="41"/>
      <c r="BV1" s="41" t="s">
        <v>4</v>
      </c>
      <c r="BW1" s="41" t="s">
        <v>0</v>
      </c>
      <c r="BX1" s="41" t="s">
        <v>50</v>
      </c>
      <c r="BY1" s="41"/>
      <c r="BZ1" s="41" t="s">
        <v>4</v>
      </c>
      <c r="CA1" s="41" t="s">
        <v>4</v>
      </c>
      <c r="CB1" s="41" t="s">
        <v>4</v>
      </c>
      <c r="CC1" s="41" t="s">
        <v>0</v>
      </c>
      <c r="CD1" s="41" t="s">
        <v>0</v>
      </c>
      <c r="CE1" s="41"/>
      <c r="CF1" s="41" t="s">
        <v>0</v>
      </c>
      <c r="CG1" s="41" t="s">
        <v>0</v>
      </c>
      <c r="CH1" s="41" t="s">
        <v>4</v>
      </c>
      <c r="CI1" s="41" t="s">
        <v>4</v>
      </c>
      <c r="CJ1" s="41" t="s">
        <v>4</v>
      </c>
      <c r="CK1" s="41" t="s">
        <v>0</v>
      </c>
      <c r="CL1" s="41" t="s">
        <v>6</v>
      </c>
      <c r="CM1" s="41" t="s">
        <v>0</v>
      </c>
      <c r="CN1" s="41" t="s">
        <v>0</v>
      </c>
      <c r="CO1" s="41" t="s">
        <v>4</v>
      </c>
      <c r="CP1" s="41" t="s">
        <v>9</v>
      </c>
      <c r="CQ1" s="41"/>
      <c r="CR1" s="41" t="s">
        <v>0</v>
      </c>
      <c r="CS1" s="41" t="s">
        <v>0</v>
      </c>
      <c r="CT1" s="41"/>
      <c r="CV1" s="22" t="s">
        <v>10</v>
      </c>
      <c r="CW1" s="22"/>
      <c r="CX1" s="45" t="s">
        <v>0</v>
      </c>
      <c r="CY1" s="45" t="s">
        <v>0</v>
      </c>
      <c r="CZ1" s="22"/>
    </row>
    <row r="2" spans="1:104" ht="12.75">
      <c r="A2" s="46" t="s">
        <v>11</v>
      </c>
      <c r="B2" s="41" t="s">
        <v>12</v>
      </c>
      <c r="C2" s="41"/>
      <c r="D2" s="41" t="s">
        <v>339</v>
      </c>
      <c r="E2" s="41" t="s">
        <v>339</v>
      </c>
      <c r="F2" s="41" t="s">
        <v>339</v>
      </c>
      <c r="G2" s="41" t="s">
        <v>339</v>
      </c>
      <c r="H2" s="41" t="s">
        <v>339</v>
      </c>
      <c r="I2" s="41"/>
      <c r="J2" s="41" t="s">
        <v>16</v>
      </c>
      <c r="K2" s="41"/>
      <c r="L2" s="41" t="s">
        <v>15</v>
      </c>
      <c r="M2" s="41" t="s">
        <v>15</v>
      </c>
      <c r="N2" s="41" t="s">
        <v>15</v>
      </c>
      <c r="O2" s="41"/>
      <c r="P2" s="41" t="s">
        <v>13</v>
      </c>
      <c r="Q2" s="41"/>
      <c r="R2" s="41" t="s">
        <v>17</v>
      </c>
      <c r="S2" s="41"/>
      <c r="T2" s="41" t="s">
        <v>15</v>
      </c>
      <c r="U2" s="41"/>
      <c r="V2" s="41" t="s">
        <v>273</v>
      </c>
      <c r="W2" s="41" t="s">
        <v>273</v>
      </c>
      <c r="X2" s="41" t="s">
        <v>273</v>
      </c>
      <c r="Y2" s="41" t="s">
        <v>234</v>
      </c>
      <c r="Z2" s="41"/>
      <c r="AA2" s="41" t="s">
        <v>15</v>
      </c>
      <c r="AB2" s="41"/>
      <c r="AC2" s="41" t="s">
        <v>19</v>
      </c>
      <c r="AD2" s="41" t="s">
        <v>20</v>
      </c>
      <c r="AE2" s="41"/>
      <c r="AF2" s="41" t="s">
        <v>22</v>
      </c>
      <c r="AG2" s="41" t="s">
        <v>18</v>
      </c>
      <c r="AH2" s="41" t="s">
        <v>21</v>
      </c>
      <c r="AI2" s="42" t="s">
        <v>284</v>
      </c>
      <c r="AJ2" s="42"/>
      <c r="AK2" s="41" t="s">
        <v>23</v>
      </c>
      <c r="AL2" s="41"/>
      <c r="AM2" s="41" t="s">
        <v>15</v>
      </c>
      <c r="AN2" s="41"/>
      <c r="AO2" s="41" t="s">
        <v>30</v>
      </c>
      <c r="AP2" s="41"/>
      <c r="AQ2" s="41" t="s">
        <v>25</v>
      </c>
      <c r="AR2" s="41" t="s">
        <v>24</v>
      </c>
      <c r="AS2" s="41"/>
      <c r="AT2" s="41" t="s">
        <v>46</v>
      </c>
      <c r="AU2" s="41"/>
      <c r="AV2" s="41" t="s">
        <v>29</v>
      </c>
      <c r="AW2" s="41"/>
      <c r="AX2" s="41" t="s">
        <v>14</v>
      </c>
      <c r="AY2" s="41" t="s">
        <v>275</v>
      </c>
      <c r="AZ2" s="41"/>
      <c r="BA2" s="41" t="s">
        <v>71</v>
      </c>
      <c r="BB2" s="41" t="s">
        <v>15</v>
      </c>
      <c r="BC2" s="41"/>
      <c r="BD2" s="41" t="s">
        <v>26</v>
      </c>
      <c r="BE2" s="41"/>
      <c r="BF2" s="41" t="s">
        <v>29</v>
      </c>
      <c r="BG2" s="41"/>
      <c r="BH2" s="41" t="s">
        <v>27</v>
      </c>
      <c r="BI2" s="41"/>
      <c r="BJ2" s="41" t="s">
        <v>14</v>
      </c>
      <c r="BK2" s="41" t="s">
        <v>28</v>
      </c>
      <c r="BL2" s="41" t="s">
        <v>28</v>
      </c>
      <c r="BM2" s="41" t="s">
        <v>28</v>
      </c>
      <c r="BN2" s="41" t="s">
        <v>14</v>
      </c>
      <c r="BO2" s="41" t="s">
        <v>31</v>
      </c>
      <c r="BP2" s="41" t="s">
        <v>32</v>
      </c>
      <c r="BQ2" s="41" t="s">
        <v>33</v>
      </c>
      <c r="BR2" s="41" t="s">
        <v>14</v>
      </c>
      <c r="BS2" s="41" t="s">
        <v>14</v>
      </c>
      <c r="BT2" s="41" t="s">
        <v>14</v>
      </c>
      <c r="BU2" s="41"/>
      <c r="BV2" s="41" t="s">
        <v>34</v>
      </c>
      <c r="BW2" s="41" t="s">
        <v>36</v>
      </c>
      <c r="BX2" s="41" t="s">
        <v>15</v>
      </c>
      <c r="BY2" s="41"/>
      <c r="BZ2" s="41" t="s">
        <v>37</v>
      </c>
      <c r="CA2" s="41" t="s">
        <v>37</v>
      </c>
      <c r="CB2" s="41" t="s">
        <v>37</v>
      </c>
      <c r="CC2" s="41" t="s">
        <v>35</v>
      </c>
      <c r="CD2" s="41" t="s">
        <v>39</v>
      </c>
      <c r="CE2" s="41"/>
      <c r="CF2" s="41" t="s">
        <v>38</v>
      </c>
      <c r="CG2" s="41" t="s">
        <v>41</v>
      </c>
      <c r="CH2" s="41" t="s">
        <v>40</v>
      </c>
      <c r="CI2" s="41" t="s">
        <v>42</v>
      </c>
      <c r="CJ2" s="41" t="s">
        <v>260</v>
      </c>
      <c r="CK2" s="41" t="s">
        <v>14</v>
      </c>
      <c r="CL2" s="41" t="s">
        <v>29</v>
      </c>
      <c r="CM2" s="41" t="s">
        <v>43</v>
      </c>
      <c r="CN2" s="41" t="s">
        <v>45</v>
      </c>
      <c r="CO2" s="41" t="s">
        <v>44</v>
      </c>
      <c r="CP2" s="41" t="s">
        <v>46</v>
      </c>
      <c r="CQ2" s="41"/>
      <c r="CR2" s="41" t="s">
        <v>47</v>
      </c>
      <c r="CS2" s="41" t="s">
        <v>48</v>
      </c>
      <c r="CT2" s="41"/>
      <c r="CV2" s="22" t="s">
        <v>49</v>
      </c>
      <c r="CW2" s="22"/>
      <c r="CX2" s="45" t="s">
        <v>272</v>
      </c>
      <c r="CY2" s="45" t="s">
        <v>303</v>
      </c>
      <c r="CZ2" s="22"/>
    </row>
    <row r="3" spans="1:104" ht="12.75">
      <c r="A3" s="44"/>
      <c r="B3" s="41" t="s">
        <v>51</v>
      </c>
      <c r="C3" s="41"/>
      <c r="D3" s="41" t="s">
        <v>346</v>
      </c>
      <c r="E3" s="112" t="s">
        <v>137</v>
      </c>
      <c r="F3" s="112" t="s">
        <v>137</v>
      </c>
      <c r="G3" s="113" t="s">
        <v>342</v>
      </c>
      <c r="H3" s="113" t="s">
        <v>344</v>
      </c>
      <c r="I3" s="113"/>
      <c r="J3" s="41" t="s">
        <v>137</v>
      </c>
      <c r="K3" s="41"/>
      <c r="L3" s="41" t="s">
        <v>29</v>
      </c>
      <c r="M3" s="41" t="s">
        <v>29</v>
      </c>
      <c r="N3" s="41" t="s">
        <v>29</v>
      </c>
      <c r="O3" s="41"/>
      <c r="P3" s="41" t="s">
        <v>137</v>
      </c>
      <c r="Q3" s="41"/>
      <c r="R3" s="41" t="s">
        <v>53</v>
      </c>
      <c r="S3" s="41"/>
      <c r="T3" s="41" t="s">
        <v>52</v>
      </c>
      <c r="U3" s="41"/>
      <c r="V3" s="41" t="s">
        <v>66</v>
      </c>
      <c r="W3" s="41" t="s">
        <v>66</v>
      </c>
      <c r="X3" s="41" t="s">
        <v>66</v>
      </c>
      <c r="Y3" s="41" t="s">
        <v>137</v>
      </c>
      <c r="Z3" s="41"/>
      <c r="AA3" s="41" t="s">
        <v>29</v>
      </c>
      <c r="AB3" s="41"/>
      <c r="AC3" s="41" t="s">
        <v>53</v>
      </c>
      <c r="AD3" s="41" t="s">
        <v>54</v>
      </c>
      <c r="AE3" s="41"/>
      <c r="AF3" s="41" t="s">
        <v>137</v>
      </c>
      <c r="AG3" s="41" t="s">
        <v>137</v>
      </c>
      <c r="AH3" s="41" t="s">
        <v>55</v>
      </c>
      <c r="AI3" s="42" t="s">
        <v>283</v>
      </c>
      <c r="AJ3" s="42"/>
      <c r="AK3" s="41" t="s">
        <v>262</v>
      </c>
      <c r="AL3" s="41"/>
      <c r="AM3" s="41" t="s">
        <v>29</v>
      </c>
      <c r="AN3" s="41"/>
      <c r="AO3" s="41" t="s">
        <v>62</v>
      </c>
      <c r="AP3" s="41"/>
      <c r="AQ3" s="41" t="s">
        <v>193</v>
      </c>
      <c r="AR3" s="41" t="s">
        <v>53</v>
      </c>
      <c r="AS3" s="41"/>
      <c r="AT3" s="41" t="s">
        <v>266</v>
      </c>
      <c r="AU3" s="41"/>
      <c r="AV3" s="41" t="s">
        <v>77</v>
      </c>
      <c r="AW3" s="41"/>
      <c r="AX3" s="41" t="s">
        <v>285</v>
      </c>
      <c r="AY3" s="41" t="s">
        <v>276</v>
      </c>
      <c r="AZ3" s="41"/>
      <c r="BA3" s="41"/>
      <c r="BB3" s="41" t="s">
        <v>73</v>
      </c>
      <c r="BC3" s="41"/>
      <c r="BD3" s="41" t="s">
        <v>57</v>
      </c>
      <c r="BE3" s="41"/>
      <c r="BF3" s="41" t="s">
        <v>61</v>
      </c>
      <c r="BG3" s="41"/>
      <c r="BH3" s="41"/>
      <c r="BI3" s="41"/>
      <c r="BJ3" s="41" t="s">
        <v>58</v>
      </c>
      <c r="BK3" s="41" t="s">
        <v>59</v>
      </c>
      <c r="BL3" s="41" t="s">
        <v>59</v>
      </c>
      <c r="BM3" s="41" t="s">
        <v>59</v>
      </c>
      <c r="BN3" s="41" t="s">
        <v>60</v>
      </c>
      <c r="BO3" s="41" t="s">
        <v>63</v>
      </c>
      <c r="BP3" s="41" t="s">
        <v>64</v>
      </c>
      <c r="BQ3" s="41"/>
      <c r="BR3" s="41" t="s">
        <v>277</v>
      </c>
      <c r="BS3" s="41" t="s">
        <v>277</v>
      </c>
      <c r="BT3" s="41" t="s">
        <v>277</v>
      </c>
      <c r="BU3" s="41"/>
      <c r="BV3" s="41" t="s">
        <v>65</v>
      </c>
      <c r="BW3" s="41" t="s">
        <v>68</v>
      </c>
      <c r="BX3" s="41" t="s">
        <v>29</v>
      </c>
      <c r="BY3" s="41"/>
      <c r="BZ3" s="41" t="s">
        <v>280</v>
      </c>
      <c r="CA3" s="41" t="s">
        <v>280</v>
      </c>
      <c r="CB3" s="41" t="s">
        <v>280</v>
      </c>
      <c r="CC3" s="41" t="s">
        <v>67</v>
      </c>
      <c r="CD3" s="41" t="s">
        <v>56</v>
      </c>
      <c r="CE3" s="41"/>
      <c r="CF3" s="41" t="s">
        <v>70</v>
      </c>
      <c r="CG3" s="41" t="s">
        <v>69</v>
      </c>
      <c r="CH3" s="41" t="s">
        <v>71</v>
      </c>
      <c r="CI3" s="41" t="s">
        <v>72</v>
      </c>
      <c r="CJ3" s="41" t="s">
        <v>76</v>
      </c>
      <c r="CK3" s="41" t="s">
        <v>74</v>
      </c>
      <c r="CL3" s="41" t="s">
        <v>75</v>
      </c>
      <c r="CM3" s="41" t="s">
        <v>78</v>
      </c>
      <c r="CN3" s="41" t="s">
        <v>80</v>
      </c>
      <c r="CO3" s="41" t="s">
        <v>79</v>
      </c>
      <c r="CP3" s="41" t="s">
        <v>81</v>
      </c>
      <c r="CQ3" s="41"/>
      <c r="CR3" s="41" t="s">
        <v>82</v>
      </c>
      <c r="CS3" s="41" t="s">
        <v>83</v>
      </c>
      <c r="CT3" s="41"/>
      <c r="CV3" s="22" t="s">
        <v>84</v>
      </c>
      <c r="CW3" s="22"/>
      <c r="CX3" s="45" t="s">
        <v>271</v>
      </c>
      <c r="CY3" s="45" t="s">
        <v>271</v>
      </c>
      <c r="CZ3" s="22"/>
    </row>
    <row r="4" spans="1:104" s="112" customFormat="1" ht="12.75">
      <c r="A4" s="47"/>
      <c r="B4" s="43" t="s">
        <v>85</v>
      </c>
      <c r="C4" s="43"/>
      <c r="D4" s="43" t="s">
        <v>86</v>
      </c>
      <c r="E4" s="113" t="s">
        <v>340</v>
      </c>
      <c r="F4" s="113" t="s">
        <v>341</v>
      </c>
      <c r="G4" s="113" t="s">
        <v>343</v>
      </c>
      <c r="H4" s="113" t="s">
        <v>345</v>
      </c>
      <c r="I4" s="113"/>
      <c r="J4" s="43" t="s">
        <v>87</v>
      </c>
      <c r="K4" s="43"/>
      <c r="L4" s="43" t="s">
        <v>88</v>
      </c>
      <c r="M4" s="166" t="s">
        <v>348</v>
      </c>
      <c r="N4" s="167" t="s">
        <v>372</v>
      </c>
      <c r="O4" s="167"/>
      <c r="P4" s="43" t="s">
        <v>89</v>
      </c>
      <c r="Q4" s="43"/>
      <c r="R4" s="43" t="s">
        <v>90</v>
      </c>
      <c r="S4" s="43"/>
      <c r="T4" s="43" t="s">
        <v>91</v>
      </c>
      <c r="U4" s="43"/>
      <c r="V4" s="43" t="s">
        <v>92</v>
      </c>
      <c r="W4" s="166" t="s">
        <v>374</v>
      </c>
      <c r="X4" s="166" t="s">
        <v>373</v>
      </c>
      <c r="Y4" s="43" t="s">
        <v>189</v>
      </c>
      <c r="Z4" s="43"/>
      <c r="AA4" s="43" t="s">
        <v>190</v>
      </c>
      <c r="AB4" s="43"/>
      <c r="AC4" s="43" t="s">
        <v>191</v>
      </c>
      <c r="AD4" s="43" t="s">
        <v>93</v>
      </c>
      <c r="AE4" s="43"/>
      <c r="AF4" s="43" t="s">
        <v>94</v>
      </c>
      <c r="AG4" s="43" t="s">
        <v>95</v>
      </c>
      <c r="AH4" s="43" t="s">
        <v>96</v>
      </c>
      <c r="AI4" s="43" t="s">
        <v>97</v>
      </c>
      <c r="AJ4" s="43"/>
      <c r="AK4" s="43" t="s">
        <v>98</v>
      </c>
      <c r="AL4" s="43"/>
      <c r="AM4" s="43" t="s">
        <v>99</v>
      </c>
      <c r="AN4" s="43"/>
      <c r="AO4" s="43" t="s">
        <v>100</v>
      </c>
      <c r="AP4" s="43"/>
      <c r="AQ4" s="43" t="s">
        <v>101</v>
      </c>
      <c r="AR4" s="43" t="s">
        <v>102</v>
      </c>
      <c r="AS4" s="43"/>
      <c r="AT4" s="43" t="s">
        <v>103</v>
      </c>
      <c r="AU4" s="43"/>
      <c r="AV4" s="43" t="s">
        <v>104</v>
      </c>
      <c r="AW4" s="43"/>
      <c r="AX4" s="43" t="s">
        <v>105</v>
      </c>
      <c r="AY4" s="43" t="s">
        <v>106</v>
      </c>
      <c r="AZ4" s="43"/>
      <c r="BA4" s="43" t="s">
        <v>305</v>
      </c>
      <c r="BB4" s="43" t="s">
        <v>107</v>
      </c>
      <c r="BC4" s="43"/>
      <c r="BD4" s="43" t="s">
        <v>108</v>
      </c>
      <c r="BE4" s="43"/>
      <c r="BF4" s="43" t="s">
        <v>109</v>
      </c>
      <c r="BG4" s="43"/>
      <c r="BH4" s="43" t="s">
        <v>110</v>
      </c>
      <c r="BI4" s="43"/>
      <c r="BJ4" s="43" t="s">
        <v>111</v>
      </c>
      <c r="BK4" s="43" t="s">
        <v>112</v>
      </c>
      <c r="BL4" s="166" t="s">
        <v>378</v>
      </c>
      <c r="BM4" s="166" t="s">
        <v>379</v>
      </c>
      <c r="BN4" s="43" t="s">
        <v>113</v>
      </c>
      <c r="BO4" s="43" t="s">
        <v>114</v>
      </c>
      <c r="BP4" s="43" t="s">
        <v>115</v>
      </c>
      <c r="BQ4" s="43" t="s">
        <v>116</v>
      </c>
      <c r="BR4" s="43" t="s">
        <v>367</v>
      </c>
      <c r="BS4" s="166" t="s">
        <v>341</v>
      </c>
      <c r="BT4" s="166" t="s">
        <v>375</v>
      </c>
      <c r="BU4" s="166"/>
      <c r="BV4" s="43" t="s">
        <v>117</v>
      </c>
      <c r="BW4" s="43" t="s">
        <v>118</v>
      </c>
      <c r="BX4" s="43" t="s">
        <v>119</v>
      </c>
      <c r="BY4" s="43"/>
      <c r="BZ4" s="43" t="s">
        <v>120</v>
      </c>
      <c r="CA4" s="166" t="s">
        <v>341</v>
      </c>
      <c r="CB4" s="166" t="s">
        <v>340</v>
      </c>
      <c r="CC4" s="43" t="s">
        <v>121</v>
      </c>
      <c r="CD4" s="43" t="s">
        <v>122</v>
      </c>
      <c r="CE4" s="43"/>
      <c r="CF4" s="43" t="s">
        <v>123</v>
      </c>
      <c r="CG4" s="43" t="s">
        <v>368</v>
      </c>
      <c r="CH4" s="43" t="s">
        <v>124</v>
      </c>
      <c r="CI4" s="43" t="s">
        <v>125</v>
      </c>
      <c r="CJ4" s="43" t="s">
        <v>126</v>
      </c>
      <c r="CK4" s="43" t="s">
        <v>127</v>
      </c>
      <c r="CL4" s="43" t="s">
        <v>128</v>
      </c>
      <c r="CM4" s="43" t="s">
        <v>129</v>
      </c>
      <c r="CN4" s="43" t="s">
        <v>130</v>
      </c>
      <c r="CO4" s="43" t="s">
        <v>195</v>
      </c>
      <c r="CP4" s="43" t="s">
        <v>369</v>
      </c>
      <c r="CQ4" s="43"/>
      <c r="CR4" s="43" t="s">
        <v>131</v>
      </c>
      <c r="CS4" s="43" t="s">
        <v>132</v>
      </c>
      <c r="CT4" s="43"/>
      <c r="CV4" s="64"/>
      <c r="CW4" s="64"/>
      <c r="CX4" s="64" t="s">
        <v>309</v>
      </c>
      <c r="CY4" s="64" t="s">
        <v>377</v>
      </c>
      <c r="CZ4" s="64"/>
    </row>
    <row r="5" spans="1:104" ht="12.75">
      <c r="A5" s="49" t="s">
        <v>229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66" t="s">
        <v>345</v>
      </c>
      <c r="O5" s="166"/>
      <c r="P5" s="1"/>
      <c r="Q5" s="1"/>
      <c r="R5" s="1"/>
      <c r="S5" s="1"/>
      <c r="T5" s="1"/>
      <c r="U5" s="1"/>
      <c r="V5" s="1"/>
      <c r="W5" s="166" t="s">
        <v>345</v>
      </c>
      <c r="X5" s="166" t="s">
        <v>345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V5" s="48"/>
      <c r="CW5" s="48"/>
      <c r="CX5" s="48"/>
      <c r="CY5" s="48"/>
      <c r="CZ5" s="48"/>
    </row>
    <row r="6" spans="1:103" s="155" customFormat="1" ht="12.75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V6" s="33">
        <f>+B6+D6+J6+L6+P6+R6+T6+V6+Y6+AA6+AC6+AD6+AF6+AG6+AH6+AI6+AK6+AM6+AO6+AQ6+AR6+AT6+AV6+AX6+AY6+BA6+BB6+BD6+BF6+BH6+BJ6+BK6+BN6+BO6+BP6+BQ6+BR6+BV6+BW6+BX6+BZ6+CC6+CD6+CF6+CG6+CH6+CI6+CJ6+CK6+CL6+CM6+CN6+CO6+CP6+CR6+CS6</f>
        <v>0</v>
      </c>
      <c r="CW6" s="33"/>
      <c r="CX6" s="33">
        <f>+D6+AQ6+BJ6+BN6+BR6+BW6+BZ6+CF6+CG6+CJ6+CM6+CN6+CO6+CR6</f>
        <v>0</v>
      </c>
      <c r="CY6" s="33">
        <f>+B6+J6+L6+P6+R6+T6+V6+Y6+AA6+AC6+AD6+AF6+AG6+AH6+AI6+AK6+AM6+AO6+AR6+AT6+AV6+AX6+AY6+BA6+BB6+BD6+BF6+BH6+BK6+BO6+BP6+BQ6+BV6+BX6+CC6+CD6+CH6+CI6+CK6+CL6+CP6+CS6</f>
        <v>0</v>
      </c>
    </row>
    <row r="7" spans="1:103" s="155" customFormat="1" ht="12.75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V7" s="33">
        <f aca="true" t="shared" si="0" ref="CV7:CV61">+B7+D7+J7+L7+P7+R7+T7+V7+Y7+AA7+AC7+AD7+AF7+AG7+AH7+AI7+AK7+AM7+AO7+AQ7+AR7+AT7+AV7+AX7+AY7+BA7+BB7+BD7+BF7+BH7+BJ7+BK7+BN7+BO7+BP7+BQ7+BR7+BV7+BW7+BX7+BZ7+CC7+CD7+CF7+CG7+CH7+CI7+CJ7+CK7+CL7+CM7+CN7+CO7+CP7+CR7+CS7</f>
        <v>0</v>
      </c>
      <c r="CW7" s="33"/>
      <c r="CX7" s="33">
        <f aca="true" t="shared" si="1" ref="CX7:CX61">+D7+AQ7+BJ7+BN7+BR7+BW7+BZ7+CF7+CG7+CJ7+CM7+CN7+CO7+CR7</f>
        <v>0</v>
      </c>
      <c r="CY7" s="33">
        <f aca="true" t="shared" si="2" ref="CY7:CY61">+B7+J7+L7+P7+R7+T7+V7+Y7+AA7+AC7+AD7+AF7+AG7+AH7+AI7+AK7+AM7+AO7+AR7+AT7+AV7+AX7+AY7+BA7+BB7+BD7+BF7+BH7+BK7+BO7+BP7+BQ7+BV7+BX7+CC7+CD7+CH7+CI7+CK7+CL7+CP7+CS7</f>
        <v>0</v>
      </c>
    </row>
    <row r="8" spans="1:103" s="155" customFormat="1" ht="12.75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V8" s="33">
        <f t="shared" si="0"/>
        <v>0</v>
      </c>
      <c r="CW8" s="33"/>
      <c r="CX8" s="33">
        <f t="shared" si="1"/>
        <v>0</v>
      </c>
      <c r="CY8" s="33">
        <f t="shared" si="2"/>
        <v>0</v>
      </c>
    </row>
    <row r="9" spans="1:103" s="155" customFormat="1" ht="12.75">
      <c r="A9" s="162"/>
      <c r="B9" s="161"/>
      <c r="C9" s="161"/>
      <c r="D9" s="163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1"/>
      <c r="CV9" s="33">
        <f t="shared" si="0"/>
        <v>0</v>
      </c>
      <c r="CW9" s="33"/>
      <c r="CX9" s="33">
        <f t="shared" si="1"/>
        <v>0</v>
      </c>
      <c r="CY9" s="33">
        <f t="shared" si="2"/>
        <v>0</v>
      </c>
    </row>
    <row r="10" spans="1:103" s="155" customFormat="1" ht="12.75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V10" s="33">
        <f t="shared" si="0"/>
        <v>0</v>
      </c>
      <c r="CW10" s="33"/>
      <c r="CX10" s="33">
        <f t="shared" si="1"/>
        <v>0</v>
      </c>
      <c r="CY10" s="33">
        <f t="shared" si="2"/>
        <v>0</v>
      </c>
    </row>
    <row r="11" spans="1:103" s="155" customFormat="1" ht="12.75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V11" s="33">
        <f t="shared" si="0"/>
        <v>0</v>
      </c>
      <c r="CW11" s="33"/>
      <c r="CX11" s="33">
        <f t="shared" si="1"/>
        <v>0</v>
      </c>
      <c r="CY11" s="33">
        <f t="shared" si="2"/>
        <v>0</v>
      </c>
    </row>
    <row r="12" spans="1:103" s="155" customFormat="1" ht="12.75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V12" s="33">
        <f t="shared" si="0"/>
        <v>0</v>
      </c>
      <c r="CW12" s="33"/>
      <c r="CX12" s="33">
        <f t="shared" si="1"/>
        <v>0</v>
      </c>
      <c r="CY12" s="33">
        <f t="shared" si="2"/>
        <v>0</v>
      </c>
    </row>
    <row r="13" spans="1:103" s="155" customFormat="1" ht="12.75">
      <c r="A13" s="160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V13" s="33">
        <f t="shared" si="0"/>
        <v>0</v>
      </c>
      <c r="CW13" s="33"/>
      <c r="CX13" s="33">
        <f t="shared" si="1"/>
        <v>0</v>
      </c>
      <c r="CY13" s="33">
        <f t="shared" si="2"/>
        <v>0</v>
      </c>
    </row>
    <row r="14" spans="1:103" s="155" customFormat="1" ht="12.75">
      <c r="A14" s="16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V14" s="33">
        <f t="shared" si="0"/>
        <v>0</v>
      </c>
      <c r="CW14" s="33"/>
      <c r="CX14" s="33">
        <f t="shared" si="1"/>
        <v>0</v>
      </c>
      <c r="CY14" s="33">
        <f t="shared" si="2"/>
        <v>0</v>
      </c>
    </row>
    <row r="15" spans="1:103" s="155" customFormat="1" ht="12.75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V15" s="33">
        <f t="shared" si="0"/>
        <v>0</v>
      </c>
      <c r="CW15" s="33"/>
      <c r="CX15" s="33">
        <f t="shared" si="1"/>
        <v>0</v>
      </c>
      <c r="CY15" s="33">
        <f t="shared" si="2"/>
        <v>0</v>
      </c>
    </row>
    <row r="16" spans="1:103" s="155" customFormat="1" ht="12.75">
      <c r="A16" s="162"/>
      <c r="D16" s="163"/>
      <c r="CV16" s="33">
        <f t="shared" si="0"/>
        <v>0</v>
      </c>
      <c r="CW16" s="33"/>
      <c r="CX16" s="33">
        <f t="shared" si="1"/>
        <v>0</v>
      </c>
      <c r="CY16" s="33">
        <f t="shared" si="2"/>
        <v>0</v>
      </c>
    </row>
    <row r="17" spans="1:103" s="155" customFormat="1" ht="12.75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V17" s="33">
        <f t="shared" si="0"/>
        <v>0</v>
      </c>
      <c r="CW17" s="33"/>
      <c r="CX17" s="33">
        <f t="shared" si="1"/>
        <v>0</v>
      </c>
      <c r="CY17" s="33">
        <f t="shared" si="2"/>
        <v>0</v>
      </c>
    </row>
    <row r="18" spans="1:103" s="155" customFormat="1" ht="12.75">
      <c r="A18" s="160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V18" s="33">
        <f t="shared" si="0"/>
        <v>0</v>
      </c>
      <c r="CW18" s="33"/>
      <c r="CX18" s="33">
        <f t="shared" si="1"/>
        <v>0</v>
      </c>
      <c r="CY18" s="33">
        <f t="shared" si="2"/>
        <v>0</v>
      </c>
    </row>
    <row r="19" spans="1:103" s="155" customFormat="1" ht="12.75">
      <c r="A19" s="160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V19" s="33">
        <f t="shared" si="0"/>
        <v>0</v>
      </c>
      <c r="CW19" s="33"/>
      <c r="CX19" s="33">
        <f t="shared" si="1"/>
        <v>0</v>
      </c>
      <c r="CY19" s="33">
        <f t="shared" si="2"/>
        <v>0</v>
      </c>
    </row>
    <row r="20" spans="1:103" s="155" customFormat="1" ht="12.75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V20" s="33">
        <f t="shared" si="0"/>
        <v>0</v>
      </c>
      <c r="CW20" s="33"/>
      <c r="CX20" s="33">
        <f t="shared" si="1"/>
        <v>0</v>
      </c>
      <c r="CY20" s="33">
        <f t="shared" si="2"/>
        <v>0</v>
      </c>
    </row>
    <row r="21" spans="1:103" s="155" customFormat="1" ht="12.75">
      <c r="A21" s="162"/>
      <c r="D21" s="163"/>
      <c r="CV21" s="33">
        <f t="shared" si="0"/>
        <v>0</v>
      </c>
      <c r="CW21" s="33"/>
      <c r="CX21" s="33">
        <f t="shared" si="1"/>
        <v>0</v>
      </c>
      <c r="CY21" s="33">
        <f t="shared" si="2"/>
        <v>0</v>
      </c>
    </row>
    <row r="22" spans="1:103" s="155" customFormat="1" ht="12.75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V22" s="33">
        <f t="shared" si="0"/>
        <v>0</v>
      </c>
      <c r="CW22" s="33"/>
      <c r="CX22" s="33">
        <f t="shared" si="1"/>
        <v>0</v>
      </c>
      <c r="CY22" s="33">
        <f t="shared" si="2"/>
        <v>0</v>
      </c>
    </row>
    <row r="23" spans="1:103" s="155" customFormat="1" ht="12.75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V23" s="33">
        <f t="shared" si="0"/>
        <v>0</v>
      </c>
      <c r="CW23" s="33"/>
      <c r="CX23" s="33">
        <f t="shared" si="1"/>
        <v>0</v>
      </c>
      <c r="CY23" s="33">
        <f t="shared" si="2"/>
        <v>0</v>
      </c>
    </row>
    <row r="24" spans="1:103" s="155" customFormat="1" ht="12.75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V24" s="33">
        <f t="shared" si="0"/>
        <v>0</v>
      </c>
      <c r="CW24" s="33"/>
      <c r="CX24" s="33">
        <f t="shared" si="1"/>
        <v>0</v>
      </c>
      <c r="CY24" s="33">
        <f t="shared" si="2"/>
        <v>0</v>
      </c>
    </row>
    <row r="25" spans="1:103" s="155" customFormat="1" ht="12.7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V25" s="33">
        <f t="shared" si="0"/>
        <v>0</v>
      </c>
      <c r="CW25" s="33"/>
      <c r="CX25" s="33">
        <f t="shared" si="1"/>
        <v>0</v>
      </c>
      <c r="CY25" s="33">
        <f t="shared" si="2"/>
        <v>0</v>
      </c>
    </row>
    <row r="26" spans="1:103" s="155" customFormat="1" ht="12.75">
      <c r="A26" s="165"/>
      <c r="CV26" s="33">
        <f t="shared" si="0"/>
        <v>0</v>
      </c>
      <c r="CW26" s="33"/>
      <c r="CX26" s="33">
        <f t="shared" si="1"/>
        <v>0</v>
      </c>
      <c r="CY26" s="33">
        <f t="shared" si="2"/>
        <v>0</v>
      </c>
    </row>
    <row r="27" spans="1:103" s="155" customFormat="1" ht="12.75">
      <c r="A27" s="165"/>
      <c r="D27" s="163"/>
      <c r="CV27" s="33">
        <f t="shared" si="0"/>
        <v>0</v>
      </c>
      <c r="CW27" s="33"/>
      <c r="CX27" s="33">
        <f t="shared" si="1"/>
        <v>0</v>
      </c>
      <c r="CY27" s="33">
        <f t="shared" si="2"/>
        <v>0</v>
      </c>
    </row>
    <row r="28" spans="1:103" s="155" customFormat="1" ht="12.75">
      <c r="A28" s="165"/>
      <c r="D28" s="163"/>
      <c r="CV28" s="33">
        <f t="shared" si="0"/>
        <v>0</v>
      </c>
      <c r="CW28" s="33"/>
      <c r="CX28" s="33">
        <f t="shared" si="1"/>
        <v>0</v>
      </c>
      <c r="CY28" s="33">
        <f t="shared" si="2"/>
        <v>0</v>
      </c>
    </row>
    <row r="29" spans="1:103" s="155" customFormat="1" ht="12.75">
      <c r="A29" s="162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V29" s="33">
        <f t="shared" si="0"/>
        <v>0</v>
      </c>
      <c r="CW29" s="33"/>
      <c r="CX29" s="33">
        <f t="shared" si="1"/>
        <v>0</v>
      </c>
      <c r="CY29" s="33">
        <f t="shared" si="2"/>
        <v>0</v>
      </c>
    </row>
    <row r="30" spans="1:103" s="155" customFormat="1" ht="12.75">
      <c r="A30" s="162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V30" s="33">
        <f t="shared" si="0"/>
        <v>0</v>
      </c>
      <c r="CW30" s="33"/>
      <c r="CX30" s="33">
        <f t="shared" si="1"/>
        <v>0</v>
      </c>
      <c r="CY30" s="33">
        <f t="shared" si="2"/>
        <v>0</v>
      </c>
    </row>
    <row r="31" spans="100:103" s="155" customFormat="1" ht="12.75">
      <c r="CV31" s="33">
        <f t="shared" si="0"/>
        <v>0</v>
      </c>
      <c r="CW31" s="33"/>
      <c r="CX31" s="33">
        <f t="shared" si="1"/>
        <v>0</v>
      </c>
      <c r="CY31" s="33">
        <f t="shared" si="2"/>
        <v>0</v>
      </c>
    </row>
    <row r="32" spans="1:103" s="155" customFormat="1" ht="12.75">
      <c r="A32" s="165"/>
      <c r="CV32" s="33">
        <f t="shared" si="0"/>
        <v>0</v>
      </c>
      <c r="CW32" s="33"/>
      <c r="CX32" s="33">
        <f t="shared" si="1"/>
        <v>0</v>
      </c>
      <c r="CY32" s="33">
        <f t="shared" si="2"/>
        <v>0</v>
      </c>
    </row>
    <row r="33" spans="1:103" s="155" customFormat="1" ht="12.75">
      <c r="A33" s="165"/>
      <c r="CV33" s="33">
        <f t="shared" si="0"/>
        <v>0</v>
      </c>
      <c r="CW33" s="33"/>
      <c r="CX33" s="33">
        <f t="shared" si="1"/>
        <v>0</v>
      </c>
      <c r="CY33" s="33">
        <f t="shared" si="2"/>
        <v>0</v>
      </c>
    </row>
    <row r="34" spans="1:103" s="155" customFormat="1" ht="12.75">
      <c r="A34" s="165"/>
      <c r="CV34" s="33">
        <f t="shared" si="0"/>
        <v>0</v>
      </c>
      <c r="CW34" s="33"/>
      <c r="CX34" s="33">
        <f t="shared" si="1"/>
        <v>0</v>
      </c>
      <c r="CY34" s="33">
        <f t="shared" si="2"/>
        <v>0</v>
      </c>
    </row>
    <row r="35" spans="1:103" s="155" customFormat="1" ht="12.75">
      <c r="A35" s="165"/>
      <c r="CV35" s="33">
        <f t="shared" si="0"/>
        <v>0</v>
      </c>
      <c r="CW35" s="33"/>
      <c r="CX35" s="33">
        <f t="shared" si="1"/>
        <v>0</v>
      </c>
      <c r="CY35" s="33">
        <f t="shared" si="2"/>
        <v>0</v>
      </c>
    </row>
    <row r="36" spans="1:103" ht="12.75">
      <c r="A36" s="67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L36" s="33">
        <f>SUM(B36:CK36)</f>
        <v>0</v>
      </c>
      <c r="CM36" s="33"/>
      <c r="CN36" s="33"/>
      <c r="CO36" s="33"/>
      <c r="CP36" s="33"/>
      <c r="CQ36" s="33"/>
      <c r="CR36" s="33"/>
      <c r="CS36" s="33"/>
      <c r="CT36" s="33"/>
      <c r="CU36" s="33"/>
      <c r="CV36" s="33">
        <f t="shared" si="0"/>
        <v>0</v>
      </c>
      <c r="CW36" s="33"/>
      <c r="CX36" s="33">
        <f t="shared" si="1"/>
        <v>0</v>
      </c>
      <c r="CY36" s="33">
        <f t="shared" si="2"/>
        <v>0</v>
      </c>
    </row>
    <row r="37" spans="1:103" ht="12.75">
      <c r="A37" s="6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L37" s="33">
        <f>SUM(B37:CK37)</f>
        <v>0</v>
      </c>
      <c r="CM37" s="33"/>
      <c r="CN37" s="33"/>
      <c r="CO37" s="33"/>
      <c r="CP37" s="33"/>
      <c r="CQ37" s="33"/>
      <c r="CR37" s="33"/>
      <c r="CS37" s="33"/>
      <c r="CT37" s="33"/>
      <c r="CU37" s="2"/>
      <c r="CV37" s="33">
        <f t="shared" si="0"/>
        <v>0</v>
      </c>
      <c r="CW37" s="33"/>
      <c r="CX37" s="33">
        <f t="shared" si="1"/>
        <v>0</v>
      </c>
      <c r="CY37" s="33">
        <f t="shared" si="2"/>
        <v>0</v>
      </c>
    </row>
    <row r="38" spans="1:103" ht="8.25" customHeight="1">
      <c r="A38" s="65"/>
      <c r="CL38" s="33"/>
      <c r="CM38" s="33"/>
      <c r="CN38" s="33"/>
      <c r="CO38" s="33"/>
      <c r="CP38" s="33"/>
      <c r="CQ38" s="33"/>
      <c r="CR38" s="33"/>
      <c r="CS38" s="33"/>
      <c r="CT38" s="33"/>
      <c r="CU38" s="35"/>
      <c r="CV38" s="33">
        <f t="shared" si="0"/>
        <v>0</v>
      </c>
      <c r="CW38" s="33"/>
      <c r="CX38" s="33">
        <f t="shared" si="1"/>
        <v>0</v>
      </c>
      <c r="CY38" s="33">
        <f t="shared" si="2"/>
        <v>0</v>
      </c>
    </row>
    <row r="39" spans="1:103" ht="12.75">
      <c r="A39" s="68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L39" s="33">
        <f>SUM(B39:CK39)</f>
        <v>0</v>
      </c>
      <c r="CM39" s="33"/>
      <c r="CN39" s="33"/>
      <c r="CO39" s="33"/>
      <c r="CP39" s="33"/>
      <c r="CQ39" s="33"/>
      <c r="CR39" s="33"/>
      <c r="CS39" s="33"/>
      <c r="CT39" s="33"/>
      <c r="CU39" s="33"/>
      <c r="CV39" s="33">
        <f t="shared" si="0"/>
        <v>0</v>
      </c>
      <c r="CW39" s="33"/>
      <c r="CX39" s="33">
        <f t="shared" si="1"/>
        <v>0</v>
      </c>
      <c r="CY39" s="33">
        <f t="shared" si="2"/>
        <v>0</v>
      </c>
    </row>
    <row r="40" spans="1:103" ht="12.75">
      <c r="A40" s="6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L40" s="33">
        <f>SUM(B40:CK40)</f>
        <v>0</v>
      </c>
      <c r="CM40" s="33"/>
      <c r="CN40" s="33"/>
      <c r="CO40" s="33"/>
      <c r="CP40" s="33"/>
      <c r="CQ40" s="33"/>
      <c r="CR40" s="33"/>
      <c r="CS40" s="33"/>
      <c r="CT40" s="33"/>
      <c r="CU40" s="2"/>
      <c r="CV40" s="33">
        <f t="shared" si="0"/>
        <v>0</v>
      </c>
      <c r="CW40" s="33"/>
      <c r="CX40" s="33">
        <f t="shared" si="1"/>
        <v>0</v>
      </c>
      <c r="CY40" s="33">
        <f t="shared" si="2"/>
        <v>0</v>
      </c>
    </row>
    <row r="41" spans="1:103" ht="8.25" customHeight="1">
      <c r="A41" s="66"/>
      <c r="CL41" s="33"/>
      <c r="CM41" s="33"/>
      <c r="CN41" s="33"/>
      <c r="CO41" s="33"/>
      <c r="CP41" s="33"/>
      <c r="CQ41" s="33"/>
      <c r="CR41" s="33"/>
      <c r="CS41" s="33"/>
      <c r="CT41" s="33"/>
      <c r="CU41" s="35"/>
      <c r="CV41" s="33">
        <f t="shared" si="0"/>
        <v>0</v>
      </c>
      <c r="CW41" s="33"/>
      <c r="CX41" s="33">
        <f t="shared" si="1"/>
        <v>0</v>
      </c>
      <c r="CY41" s="33">
        <f t="shared" si="2"/>
        <v>0</v>
      </c>
    </row>
    <row r="42" spans="1:103" ht="12.75">
      <c r="A42" s="18"/>
      <c r="CL42" s="33"/>
      <c r="CM42" s="33"/>
      <c r="CN42" s="33"/>
      <c r="CO42" s="33"/>
      <c r="CP42" s="33"/>
      <c r="CQ42" s="33"/>
      <c r="CR42" s="33"/>
      <c r="CS42" s="33"/>
      <c r="CT42" s="33"/>
      <c r="CU42" s="62"/>
      <c r="CV42" s="33">
        <f t="shared" si="0"/>
        <v>0</v>
      </c>
      <c r="CW42" s="33"/>
      <c r="CX42" s="33">
        <f t="shared" si="1"/>
        <v>0</v>
      </c>
      <c r="CY42" s="33">
        <f t="shared" si="2"/>
        <v>0</v>
      </c>
    </row>
    <row r="43" spans="1:103" ht="12.75">
      <c r="A43" s="6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L43" s="33">
        <f>SUM(B43:CK43)</f>
        <v>0</v>
      </c>
      <c r="CM43" s="33"/>
      <c r="CN43" s="33"/>
      <c r="CO43" s="33"/>
      <c r="CP43" s="33"/>
      <c r="CQ43" s="33"/>
      <c r="CR43" s="33"/>
      <c r="CS43" s="33"/>
      <c r="CT43" s="33"/>
      <c r="CU43" s="2"/>
      <c r="CV43" s="33">
        <f t="shared" si="0"/>
        <v>0</v>
      </c>
      <c r="CW43" s="33"/>
      <c r="CX43" s="33">
        <f t="shared" si="1"/>
        <v>0</v>
      </c>
      <c r="CY43" s="33">
        <f t="shared" si="2"/>
        <v>0</v>
      </c>
    </row>
    <row r="44" spans="1:103" ht="12.75">
      <c r="A44" s="6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L44" s="33">
        <f>SUM(B44:CK44)</f>
        <v>0</v>
      </c>
      <c r="CM44" s="33"/>
      <c r="CN44" s="33"/>
      <c r="CO44" s="33"/>
      <c r="CP44" s="33"/>
      <c r="CQ44" s="33"/>
      <c r="CR44" s="33"/>
      <c r="CS44" s="33"/>
      <c r="CT44" s="33"/>
      <c r="CU44" s="2"/>
      <c r="CV44" s="33">
        <f t="shared" si="0"/>
        <v>0</v>
      </c>
      <c r="CW44" s="33"/>
      <c r="CX44" s="33">
        <f t="shared" si="1"/>
        <v>0</v>
      </c>
      <c r="CY44" s="33">
        <f t="shared" si="2"/>
        <v>0</v>
      </c>
    </row>
    <row r="45" spans="1:103" ht="12.75">
      <c r="A45" s="40"/>
      <c r="B45" s="33">
        <f>B43+B44</f>
        <v>0</v>
      </c>
      <c r="C45" s="33"/>
      <c r="D45" s="33">
        <f>D43+D44</f>
        <v>0</v>
      </c>
      <c r="E45" s="33"/>
      <c r="F45" s="33"/>
      <c r="G45" s="33"/>
      <c r="H45" s="33"/>
      <c r="I45" s="33"/>
      <c r="J45" s="33">
        <f>J43+J44</f>
        <v>0</v>
      </c>
      <c r="K45" s="33"/>
      <c r="L45" s="33">
        <f>L43+L44</f>
        <v>0</v>
      </c>
      <c r="M45" s="33">
        <f>M43+M44</f>
        <v>0</v>
      </c>
      <c r="N45" s="33">
        <f>N43+N44</f>
        <v>0</v>
      </c>
      <c r="O45" s="33"/>
      <c r="P45" s="33">
        <f>P43+P44</f>
        <v>0</v>
      </c>
      <c r="Q45" s="33"/>
      <c r="R45" s="33">
        <f>R43+R44</f>
        <v>0</v>
      </c>
      <c r="S45" s="33"/>
      <c r="T45" s="33">
        <f>T43+T44</f>
        <v>0</v>
      </c>
      <c r="U45" s="33"/>
      <c r="V45" s="33">
        <f>V43+V44</f>
        <v>0</v>
      </c>
      <c r="W45" s="33">
        <f>W43+W44</f>
        <v>0</v>
      </c>
      <c r="X45" s="33">
        <f>X43+X44</f>
        <v>0</v>
      </c>
      <c r="Y45" s="33">
        <f>Y43+Y44</f>
        <v>0</v>
      </c>
      <c r="Z45" s="33"/>
      <c r="AA45" s="33">
        <f>AA43+AA44</f>
        <v>0</v>
      </c>
      <c r="AB45" s="33"/>
      <c r="AC45" s="33">
        <f>AC43+AC44</f>
        <v>0</v>
      </c>
      <c r="AD45" s="33">
        <f>AD43+AD44</f>
        <v>0</v>
      </c>
      <c r="AE45" s="33"/>
      <c r="AF45" s="33">
        <f>AF43+AF44</f>
        <v>0</v>
      </c>
      <c r="AG45" s="33">
        <f>AG43+AG44</f>
        <v>0</v>
      </c>
      <c r="AH45" s="33">
        <f>AH43+AH44</f>
        <v>0</v>
      </c>
      <c r="AI45" s="33">
        <f>AI43+AI44</f>
        <v>0</v>
      </c>
      <c r="AJ45" s="33"/>
      <c r="AK45" s="33">
        <f>AK43+AK44</f>
        <v>0</v>
      </c>
      <c r="AL45" s="33"/>
      <c r="AM45" s="33">
        <f>AM43+AM44</f>
        <v>0</v>
      </c>
      <c r="AN45" s="33"/>
      <c r="AO45" s="33">
        <f>AO43+AO44</f>
        <v>0</v>
      </c>
      <c r="AP45" s="33"/>
      <c r="AQ45" s="33">
        <f>AQ43+AQ44</f>
        <v>0</v>
      </c>
      <c r="AR45" s="33">
        <f>AR43+AR44</f>
        <v>0</v>
      </c>
      <c r="AS45" s="33"/>
      <c r="AT45" s="33">
        <f>AT43+AT44</f>
        <v>0</v>
      </c>
      <c r="AU45" s="33"/>
      <c r="AV45" s="33">
        <f>AV43+AV44</f>
        <v>0</v>
      </c>
      <c r="AW45" s="33"/>
      <c r="AX45" s="33">
        <f>AX43+AX44</f>
        <v>0</v>
      </c>
      <c r="AY45" s="33">
        <f>AY43+AY44</f>
        <v>0</v>
      </c>
      <c r="AZ45" s="33"/>
      <c r="BA45" s="33">
        <f>BA43+BA44</f>
        <v>0</v>
      </c>
      <c r="BB45" s="33">
        <f>BB43+BB44</f>
        <v>0</v>
      </c>
      <c r="BC45" s="33"/>
      <c r="BD45" s="33">
        <f>BD43+BD44</f>
        <v>0</v>
      </c>
      <c r="BE45" s="33"/>
      <c r="BF45" s="33">
        <f>BF43+BF44</f>
        <v>0</v>
      </c>
      <c r="BG45" s="33"/>
      <c r="BH45" s="33">
        <f>BH43+BH44</f>
        <v>0</v>
      </c>
      <c r="BI45" s="33"/>
      <c r="BJ45" s="33">
        <f>BJ43+BJ44</f>
        <v>0</v>
      </c>
      <c r="BK45" s="33">
        <f>BK43+BK44</f>
        <v>0</v>
      </c>
      <c r="BL45" s="33"/>
      <c r="BM45" s="33"/>
      <c r="BN45" s="33">
        <f>BN43+BN44</f>
        <v>0</v>
      </c>
      <c r="BO45" s="33">
        <f>BO43+BO44</f>
        <v>0</v>
      </c>
      <c r="BP45" s="33">
        <f>BP43+BP44</f>
        <v>0</v>
      </c>
      <c r="BQ45" s="33"/>
      <c r="BR45" s="33">
        <f>BR43+BR44</f>
        <v>0</v>
      </c>
      <c r="BS45" s="33">
        <f>BS43+BS44</f>
        <v>0</v>
      </c>
      <c r="BT45" s="33">
        <f>BT43+BT44</f>
        <v>0</v>
      </c>
      <c r="BU45" s="33"/>
      <c r="BV45" s="33">
        <f>BV43+BV44</f>
        <v>0</v>
      </c>
      <c r="BW45" s="33">
        <f>BW43+BW44</f>
        <v>0</v>
      </c>
      <c r="BX45" s="33">
        <f>BX43+BX44</f>
        <v>0</v>
      </c>
      <c r="BY45" s="33"/>
      <c r="BZ45" s="33">
        <f>BZ43+BZ44</f>
        <v>0</v>
      </c>
      <c r="CA45" s="33">
        <f>CA43+CA44</f>
        <v>0</v>
      </c>
      <c r="CB45" s="33">
        <f>CB43+CB44</f>
        <v>0</v>
      </c>
      <c r="CC45" s="33">
        <f>CC43+CC44</f>
        <v>0</v>
      </c>
      <c r="CD45" s="33">
        <f>CD43+CD44</f>
        <v>0</v>
      </c>
      <c r="CE45" s="33"/>
      <c r="CF45" s="33">
        <f>CF43+CF44</f>
        <v>0</v>
      </c>
      <c r="CG45" s="33">
        <f>CG43+CG44</f>
        <v>0</v>
      </c>
      <c r="CH45" s="33">
        <f>CH43+CH44</f>
        <v>0</v>
      </c>
      <c r="CI45" s="33">
        <f>CI43+CI44</f>
        <v>0</v>
      </c>
      <c r="CJ45" s="33">
        <f>CJ43+CJ44</f>
        <v>0</v>
      </c>
      <c r="CL45" s="33">
        <f>SUM(B45:CK45)</f>
        <v>0</v>
      </c>
      <c r="CM45" s="33"/>
      <c r="CN45" s="33"/>
      <c r="CO45" s="33"/>
      <c r="CP45" s="33"/>
      <c r="CQ45" s="33"/>
      <c r="CR45" s="33"/>
      <c r="CS45" s="33"/>
      <c r="CT45" s="33"/>
      <c r="CU45" s="33"/>
      <c r="CV45" s="33">
        <f t="shared" si="0"/>
        <v>0</v>
      </c>
      <c r="CW45" s="33"/>
      <c r="CX45" s="33">
        <f t="shared" si="1"/>
        <v>0</v>
      </c>
      <c r="CY45" s="33">
        <f t="shared" si="2"/>
        <v>0</v>
      </c>
    </row>
    <row r="46" spans="1:103" ht="8.25" customHeight="1">
      <c r="A46" s="40"/>
      <c r="CL46" s="33"/>
      <c r="CM46" s="33"/>
      <c r="CN46" s="33"/>
      <c r="CO46" s="33"/>
      <c r="CP46" s="33"/>
      <c r="CQ46" s="33"/>
      <c r="CR46" s="33"/>
      <c r="CS46" s="33"/>
      <c r="CT46" s="33"/>
      <c r="CU46" s="35"/>
      <c r="CV46" s="33">
        <f t="shared" si="0"/>
        <v>0</v>
      </c>
      <c r="CW46" s="33"/>
      <c r="CX46" s="33">
        <f t="shared" si="1"/>
        <v>0</v>
      </c>
      <c r="CY46" s="33">
        <f t="shared" si="2"/>
        <v>0</v>
      </c>
    </row>
    <row r="47" spans="1:103" ht="12.75">
      <c r="A47" s="1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L47" s="33">
        <f>SUM(B47:CK47)</f>
        <v>0</v>
      </c>
      <c r="CM47" s="33"/>
      <c r="CN47" s="33"/>
      <c r="CO47" s="33"/>
      <c r="CP47" s="33"/>
      <c r="CQ47" s="33"/>
      <c r="CR47" s="33"/>
      <c r="CS47" s="33"/>
      <c r="CT47" s="33"/>
      <c r="CU47" s="2"/>
      <c r="CV47" s="33">
        <f t="shared" si="0"/>
        <v>0</v>
      </c>
      <c r="CW47" s="33"/>
      <c r="CX47" s="33">
        <f t="shared" si="1"/>
        <v>0</v>
      </c>
      <c r="CY47" s="33">
        <f t="shared" si="2"/>
        <v>0</v>
      </c>
    </row>
    <row r="48" spans="1:103" ht="8.25" customHeight="1">
      <c r="A48" s="7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L48" s="33"/>
      <c r="CM48" s="33"/>
      <c r="CN48" s="33"/>
      <c r="CO48" s="33"/>
      <c r="CP48" s="33"/>
      <c r="CQ48" s="33"/>
      <c r="CR48" s="33"/>
      <c r="CS48" s="33"/>
      <c r="CT48" s="33"/>
      <c r="CU48" s="2"/>
      <c r="CV48" s="33">
        <f t="shared" si="0"/>
        <v>0</v>
      </c>
      <c r="CW48" s="33"/>
      <c r="CX48" s="33">
        <f t="shared" si="1"/>
        <v>0</v>
      </c>
      <c r="CY48" s="33">
        <f t="shared" si="2"/>
        <v>0</v>
      </c>
    </row>
    <row r="49" spans="1:103" ht="12.75">
      <c r="A49" s="1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L49" s="33">
        <f>SUM(B49:CK49)</f>
        <v>0</v>
      </c>
      <c r="CM49" s="33"/>
      <c r="CN49" s="33"/>
      <c r="CO49" s="33"/>
      <c r="CP49" s="33"/>
      <c r="CQ49" s="33"/>
      <c r="CR49" s="33"/>
      <c r="CS49" s="33"/>
      <c r="CT49" s="33"/>
      <c r="CU49" s="2"/>
      <c r="CV49" s="33">
        <f t="shared" si="0"/>
        <v>0</v>
      </c>
      <c r="CW49" s="33"/>
      <c r="CX49" s="33">
        <f t="shared" si="1"/>
        <v>0</v>
      </c>
      <c r="CY49" s="33">
        <f t="shared" si="2"/>
        <v>0</v>
      </c>
    </row>
    <row r="50" spans="1:103" ht="8.25" customHeight="1">
      <c r="A50" s="18"/>
      <c r="CL50" s="33"/>
      <c r="CM50" s="33"/>
      <c r="CN50" s="33"/>
      <c r="CO50" s="33"/>
      <c r="CP50" s="33"/>
      <c r="CQ50" s="33"/>
      <c r="CR50" s="33"/>
      <c r="CS50" s="33"/>
      <c r="CT50" s="33"/>
      <c r="CU50" s="35"/>
      <c r="CV50" s="33">
        <f t="shared" si="0"/>
        <v>0</v>
      </c>
      <c r="CW50" s="33"/>
      <c r="CX50" s="33">
        <f t="shared" si="1"/>
        <v>0</v>
      </c>
      <c r="CY50" s="33">
        <f t="shared" si="2"/>
        <v>0</v>
      </c>
    </row>
    <row r="51" spans="1:103" ht="12.75">
      <c r="A51" s="18"/>
      <c r="B51" s="33">
        <f>B21+B32+B34+B36+B39+B45+B47+B49</f>
        <v>0</v>
      </c>
      <c r="C51" s="33"/>
      <c r="D51" s="33">
        <f>D21+D32+D34+D36+D39+D45+D47+D49</f>
        <v>0</v>
      </c>
      <c r="E51" s="33"/>
      <c r="F51" s="33"/>
      <c r="G51" s="33"/>
      <c r="H51" s="33"/>
      <c r="I51" s="33"/>
      <c r="J51" s="33">
        <f>J21+J32+J34+J36+J39+J45+J47+J49</f>
        <v>0</v>
      </c>
      <c r="K51" s="33"/>
      <c r="L51" s="33">
        <f>L21+L32+L34+L36+L39+L45+L47+L49</f>
        <v>0</v>
      </c>
      <c r="M51" s="33">
        <f>M21+M32+M34+M36+M39+M45+M47+M49</f>
        <v>0</v>
      </c>
      <c r="N51" s="33">
        <f>N21+N32+N34+N36+N39+N45+N47+N49</f>
        <v>0</v>
      </c>
      <c r="O51" s="33"/>
      <c r="P51" s="33">
        <f>P21+P32+P34+P36+P39+P45+P47+P49</f>
        <v>0</v>
      </c>
      <c r="Q51" s="33"/>
      <c r="R51" s="33">
        <f>R21+R32+R34+R36+R39+R45+R47+R49</f>
        <v>0</v>
      </c>
      <c r="S51" s="33"/>
      <c r="T51" s="33">
        <f>T21+T32+T34+T36+T39+T45+T47+T49</f>
        <v>0</v>
      </c>
      <c r="U51" s="33"/>
      <c r="V51" s="33">
        <f>V21+V32+V34+V36+V39+V45+V47+V49</f>
        <v>0</v>
      </c>
      <c r="W51" s="33">
        <f>W21+W32+W34+W36+W39+W45+W47+W49</f>
        <v>0</v>
      </c>
      <c r="X51" s="33">
        <f>X21+X32+X34+X36+X39+X45+X47+X49</f>
        <v>0</v>
      </c>
      <c r="Y51" s="33">
        <f>Y21+Y32+Y34+Y36+Y39+Y45+Y47+Y49</f>
        <v>0</v>
      </c>
      <c r="Z51" s="33"/>
      <c r="AA51" s="33">
        <f>AA21+AA32+AA34+AA36+AA39+AA45+AA47+AA49</f>
        <v>0</v>
      </c>
      <c r="AB51" s="33"/>
      <c r="AC51" s="33">
        <f>AC21+AC32+AC34+AC36+AC39+AC45+AC47+AC49</f>
        <v>0</v>
      </c>
      <c r="AD51" s="33">
        <f>AD21+AD32+AD34+AD36+AD39+AD45+AD47+AD49</f>
        <v>0</v>
      </c>
      <c r="AE51" s="33"/>
      <c r="AF51" s="33">
        <f>AF21+AF32+AF34+AF36+AF39+AF45+AF47+AF49</f>
        <v>0</v>
      </c>
      <c r="AG51" s="33">
        <f>AG21+AG32+AG34+AG36+AG39+AG45+AG47+AG49</f>
        <v>0</v>
      </c>
      <c r="AH51" s="33">
        <f>AH21+AH32+AH34+AH36+AH39+AH45+AH47+AH49</f>
        <v>0</v>
      </c>
      <c r="AI51" s="33">
        <f>AI21+AI32+AI34+AI36+AI39+AI45+AI47+AI49</f>
        <v>0</v>
      </c>
      <c r="AJ51" s="33"/>
      <c r="AK51" s="33">
        <f>AK21+AK32+AK34+AK36+AK39+AK45+AK47+AK49</f>
        <v>0</v>
      </c>
      <c r="AL51" s="33"/>
      <c r="AM51" s="33">
        <f>AM21+AM32+AM34+AM36+AM39+AM45+AM47+AM49</f>
        <v>0</v>
      </c>
      <c r="AN51" s="33"/>
      <c r="AO51" s="33">
        <f>AO21+AO32+AO34+AO36+AO39+AO45+AO47+AO49</f>
        <v>0</v>
      </c>
      <c r="AP51" s="33"/>
      <c r="AQ51" s="33">
        <f>AQ21+AQ32+AQ34+AQ36+AQ39+AQ45+AQ47+AQ49</f>
        <v>0</v>
      </c>
      <c r="AR51" s="33">
        <f>AR21+AR32+AR34+AR36+AR39+AR45+AR47+AR49</f>
        <v>0</v>
      </c>
      <c r="AS51" s="33"/>
      <c r="AT51" s="33">
        <f>AT21+AT32+AT34+AT36+AT39+AT45+AT47+AT49</f>
        <v>0</v>
      </c>
      <c r="AU51" s="33"/>
      <c r="AV51" s="33">
        <f>AV21+AV32+AV34+AV36+AV39+AV45+AV47+AV49</f>
        <v>0</v>
      </c>
      <c r="AW51" s="33"/>
      <c r="AX51" s="33">
        <f>AX21+AX32+AX34+AX36+AX39+AX45+AX47+AX49</f>
        <v>0</v>
      </c>
      <c r="AY51" s="33">
        <f>AY21+AY32+AY34+AY36+AY39+AY45+AY47+AY49</f>
        <v>0</v>
      </c>
      <c r="AZ51" s="33"/>
      <c r="BA51" s="33">
        <f>BA21+BA32+BA34+BA36+BA39+BA45+BA47+BA49</f>
        <v>0</v>
      </c>
      <c r="BB51" s="33">
        <f>BB21+BB32+BB34+BB36+BB39+BB45+BB47+BB49</f>
        <v>0</v>
      </c>
      <c r="BC51" s="33"/>
      <c r="BD51" s="33">
        <f>BD21+BD32+BD34+BD36+BD39+BD45+BD47+BD49</f>
        <v>0</v>
      </c>
      <c r="BE51" s="33"/>
      <c r="BF51" s="33">
        <f>BF21+BF32+BF34+BF36+BF39+BF45+BF47+BF49</f>
        <v>0</v>
      </c>
      <c r="BG51" s="33"/>
      <c r="BH51" s="33">
        <f>BH21+BH32+BH34+BH36+BH39+BH45+BH47+BH49</f>
        <v>0</v>
      </c>
      <c r="BI51" s="33"/>
      <c r="BJ51" s="33">
        <f>BJ21+BJ32+BJ34+BJ36+BJ39+BJ45+BJ47+BJ49</f>
        <v>0</v>
      </c>
      <c r="BK51" s="33">
        <f>BK21+BK32+BK34+BK36+BK39+BK45+BK47+BK49</f>
        <v>0</v>
      </c>
      <c r="BL51" s="33"/>
      <c r="BM51" s="33"/>
      <c r="BN51" s="33">
        <f>BN21+BN32+BN34+BN36+BN39+BN45+BN47+BN49</f>
        <v>0</v>
      </c>
      <c r="BO51" s="33">
        <f>BO21+BO32+BO34+BO36+BO39+BO45+BO47+BO49</f>
        <v>0</v>
      </c>
      <c r="BP51" s="33">
        <f>BP21+BP32+BP34+BP36+BP39+BP45+BP47+BP49</f>
        <v>0</v>
      </c>
      <c r="BQ51" s="33"/>
      <c r="BR51" s="33">
        <f>BR21+BR32+BR34+BR36+BR39+BR45+BR47+BR49</f>
        <v>0</v>
      </c>
      <c r="BS51" s="33">
        <f>BS21+BS32+BS34+BS36+BS39+BS45+BS47+BS49</f>
        <v>0</v>
      </c>
      <c r="BT51" s="33">
        <f>BT21+BT32+BT34+BT36+BT39+BT45+BT47+BT49</f>
        <v>0</v>
      </c>
      <c r="BU51" s="33"/>
      <c r="BV51" s="33">
        <f>BV21+BV32+BV34+BV36+BV39+BV45+BV47+BV49</f>
        <v>0</v>
      </c>
      <c r="BW51" s="33">
        <f>BW21+BW32+BW34+BW36+BW39+BW45+BW47+BW49</f>
        <v>0</v>
      </c>
      <c r="BX51" s="33">
        <f>BX21+BX32+BX34+BX36+BX39+BX45+BX47+BX49</f>
        <v>0</v>
      </c>
      <c r="BY51" s="33"/>
      <c r="BZ51" s="33">
        <f>BZ21+BZ32+BZ34+BZ36+BZ39+BZ45+BZ47+BZ49</f>
        <v>0</v>
      </c>
      <c r="CA51" s="33">
        <f>CA21+CA32+CA34+CA36+CA39+CA45+CA47+CA49</f>
        <v>0</v>
      </c>
      <c r="CB51" s="33">
        <f>CB21+CB32+CB34+CB36+CB39+CB45+CB47+CB49</f>
        <v>0</v>
      </c>
      <c r="CC51" s="33">
        <f>CC21+CC32+CC34+CC36+CC39+CC45+CC47+CC49</f>
        <v>0</v>
      </c>
      <c r="CD51" s="33">
        <f>CD21+CD32+CD34+CD36+CD39+CD45+CD47+CD49</f>
        <v>0</v>
      </c>
      <c r="CE51" s="33"/>
      <c r="CF51" s="33">
        <f>CF21+CF32+CF34+CF36+CF39+CF45+CF47+CF49</f>
        <v>0</v>
      </c>
      <c r="CG51" s="33">
        <f>CG21+CG32+CG34+CG36+CG39+CG45+CG47+CG49</f>
        <v>0</v>
      </c>
      <c r="CH51" s="33">
        <f>CH21+CH32+CH34+CH36+CH39+CH45+CH47+CH49</f>
        <v>0</v>
      </c>
      <c r="CI51" s="33">
        <f>CI21+CI32+CI34+CI36+CI39+CI45+CI47+CI49</f>
        <v>0</v>
      </c>
      <c r="CJ51" s="33">
        <f>CJ21+CJ32+CJ34+CJ36+CJ39+CJ45+CJ47+CJ49</f>
        <v>0</v>
      </c>
      <c r="CL51" s="33">
        <f>SUM(B51:CK51)</f>
        <v>0</v>
      </c>
      <c r="CM51" s="33"/>
      <c r="CN51" s="33"/>
      <c r="CO51" s="33"/>
      <c r="CP51" s="33"/>
      <c r="CQ51" s="33"/>
      <c r="CR51" s="33"/>
      <c r="CS51" s="33"/>
      <c r="CT51" s="33"/>
      <c r="CU51" s="33"/>
      <c r="CV51" s="33">
        <f t="shared" si="0"/>
        <v>0</v>
      </c>
      <c r="CW51" s="33"/>
      <c r="CX51" s="33">
        <f t="shared" si="1"/>
        <v>0</v>
      </c>
      <c r="CY51" s="33">
        <f t="shared" si="2"/>
        <v>0</v>
      </c>
    </row>
    <row r="52" spans="1:103" ht="8.25" customHeight="1">
      <c r="A52" s="18"/>
      <c r="CL52" s="33"/>
      <c r="CM52" s="33"/>
      <c r="CN52" s="33"/>
      <c r="CO52" s="33"/>
      <c r="CP52" s="33"/>
      <c r="CQ52" s="33"/>
      <c r="CR52" s="33"/>
      <c r="CS52" s="33"/>
      <c r="CT52" s="33"/>
      <c r="CU52" s="35"/>
      <c r="CV52" s="33">
        <f t="shared" si="0"/>
        <v>0</v>
      </c>
      <c r="CW52" s="33"/>
      <c r="CX52" s="33">
        <f t="shared" si="1"/>
        <v>0</v>
      </c>
      <c r="CY52" s="33">
        <f t="shared" si="2"/>
        <v>0</v>
      </c>
    </row>
    <row r="53" spans="1:103" ht="12.75">
      <c r="A53" s="70"/>
      <c r="CL53" s="33"/>
      <c r="CM53" s="33"/>
      <c r="CN53" s="33"/>
      <c r="CO53" s="33"/>
      <c r="CP53" s="33"/>
      <c r="CQ53" s="33"/>
      <c r="CR53" s="33"/>
      <c r="CS53" s="33"/>
      <c r="CT53" s="33"/>
      <c r="CU53" s="35"/>
      <c r="CV53" s="33">
        <f t="shared" si="0"/>
        <v>0</v>
      </c>
      <c r="CW53" s="33"/>
      <c r="CX53" s="33">
        <f t="shared" si="1"/>
        <v>0</v>
      </c>
      <c r="CY53" s="33">
        <f t="shared" si="2"/>
        <v>0</v>
      </c>
    </row>
    <row r="54" spans="1:103" ht="12.75">
      <c r="A54" s="76"/>
      <c r="CL54" s="33"/>
      <c r="CM54" s="33"/>
      <c r="CN54" s="33"/>
      <c r="CO54" s="33"/>
      <c r="CP54" s="33"/>
      <c r="CQ54" s="33"/>
      <c r="CR54" s="33"/>
      <c r="CS54" s="33"/>
      <c r="CT54" s="33"/>
      <c r="CU54" s="35"/>
      <c r="CV54" s="33">
        <f t="shared" si="0"/>
        <v>0</v>
      </c>
      <c r="CW54" s="33"/>
      <c r="CX54" s="33">
        <f t="shared" si="1"/>
        <v>0</v>
      </c>
      <c r="CY54" s="33">
        <f t="shared" si="2"/>
        <v>0</v>
      </c>
    </row>
    <row r="55" spans="1:103" ht="12.75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L55" s="33">
        <f>SUM(B55:CK55)</f>
        <v>0</v>
      </c>
      <c r="CM55" s="33"/>
      <c r="CN55" s="33"/>
      <c r="CO55" s="33"/>
      <c r="CP55" s="33"/>
      <c r="CQ55" s="33"/>
      <c r="CR55" s="33"/>
      <c r="CS55" s="33"/>
      <c r="CT55" s="33"/>
      <c r="CU55" s="2"/>
      <c r="CV55" s="33">
        <f t="shared" si="0"/>
        <v>0</v>
      </c>
      <c r="CW55" s="33"/>
      <c r="CX55" s="33">
        <f t="shared" si="1"/>
        <v>0</v>
      </c>
      <c r="CY55" s="33">
        <f t="shared" si="2"/>
        <v>0</v>
      </c>
    </row>
    <row r="56" spans="1:103" ht="12.75">
      <c r="A56" s="7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L56" s="33">
        <f>SUM(B56:CK56)</f>
        <v>0</v>
      </c>
      <c r="CM56" s="33"/>
      <c r="CN56" s="33"/>
      <c r="CO56" s="33"/>
      <c r="CP56" s="33"/>
      <c r="CQ56" s="33"/>
      <c r="CR56" s="33"/>
      <c r="CS56" s="33"/>
      <c r="CT56" s="33"/>
      <c r="CU56" s="2"/>
      <c r="CV56" s="33">
        <f t="shared" si="0"/>
        <v>0</v>
      </c>
      <c r="CW56" s="33"/>
      <c r="CX56" s="33">
        <f t="shared" si="1"/>
        <v>0</v>
      </c>
      <c r="CY56" s="33">
        <f t="shared" si="2"/>
        <v>0</v>
      </c>
    </row>
    <row r="57" spans="1:103" ht="12.75">
      <c r="A57" s="7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L57" s="33">
        <f>SUM(B57:CK57)</f>
        <v>0</v>
      </c>
      <c r="CM57" s="33"/>
      <c r="CN57" s="33"/>
      <c r="CO57" s="33"/>
      <c r="CP57" s="33"/>
      <c r="CQ57" s="33"/>
      <c r="CR57" s="33"/>
      <c r="CS57" s="33"/>
      <c r="CT57" s="33"/>
      <c r="CU57" s="2"/>
      <c r="CV57" s="33">
        <f t="shared" si="0"/>
        <v>0</v>
      </c>
      <c r="CW57" s="33"/>
      <c r="CX57" s="33">
        <f t="shared" si="1"/>
        <v>0</v>
      </c>
      <c r="CY57" s="33">
        <f t="shared" si="2"/>
        <v>0</v>
      </c>
    </row>
    <row r="58" spans="1:103" ht="12.75">
      <c r="A58" s="77"/>
      <c r="B58" s="33">
        <f>B55+B56+B57</f>
        <v>0</v>
      </c>
      <c r="C58" s="33"/>
      <c r="D58" s="33">
        <f>D55+D56+D57</f>
        <v>0</v>
      </c>
      <c r="E58" s="33"/>
      <c r="F58" s="33"/>
      <c r="G58" s="33"/>
      <c r="H58" s="33"/>
      <c r="I58" s="33"/>
      <c r="J58" s="33">
        <f>J55+J56+J57</f>
        <v>0</v>
      </c>
      <c r="K58" s="33"/>
      <c r="L58" s="33">
        <f>L55+L56+L57</f>
        <v>0</v>
      </c>
      <c r="M58" s="33">
        <f>M55+M56+M57</f>
        <v>0</v>
      </c>
      <c r="N58" s="33">
        <f>N55+N56+N57</f>
        <v>0</v>
      </c>
      <c r="O58" s="33"/>
      <c r="P58" s="33">
        <f>P55+P56+P57</f>
        <v>0</v>
      </c>
      <c r="Q58" s="33"/>
      <c r="R58" s="33">
        <f>R55+R56+R57</f>
        <v>0</v>
      </c>
      <c r="S58" s="33"/>
      <c r="T58" s="33">
        <f>T55+T56+T57</f>
        <v>0</v>
      </c>
      <c r="U58" s="33"/>
      <c r="V58" s="33">
        <f>V55+V56+V57</f>
        <v>0</v>
      </c>
      <c r="W58" s="33">
        <f>W55+W56+W57</f>
        <v>0</v>
      </c>
      <c r="X58" s="33">
        <f>X55+X56+X57</f>
        <v>0</v>
      </c>
      <c r="Y58" s="33">
        <f>Y55+Y56+Y57</f>
        <v>0</v>
      </c>
      <c r="Z58" s="33"/>
      <c r="AA58" s="33">
        <f>AA55+AA56+AA57</f>
        <v>0</v>
      </c>
      <c r="AB58" s="33"/>
      <c r="AC58" s="33">
        <f>AC55+AC56+AC57</f>
        <v>0</v>
      </c>
      <c r="AD58" s="33">
        <f>AD55+AD56+AD57</f>
        <v>0</v>
      </c>
      <c r="AE58" s="33"/>
      <c r="AF58" s="33">
        <f>AF55+AF56+AF57</f>
        <v>0</v>
      </c>
      <c r="AG58" s="33">
        <f>AG55+AG56+AG57</f>
        <v>0</v>
      </c>
      <c r="AH58" s="33">
        <f>AH55+AH56+AH57</f>
        <v>0</v>
      </c>
      <c r="AI58" s="33">
        <f>AI55+AI56+AI57</f>
        <v>0</v>
      </c>
      <c r="AJ58" s="33"/>
      <c r="AK58" s="33">
        <f>AK55+AK56+AK57</f>
        <v>0</v>
      </c>
      <c r="AL58" s="33"/>
      <c r="AM58" s="33">
        <f>AM55+AM56+AM57</f>
        <v>0</v>
      </c>
      <c r="AN58" s="33"/>
      <c r="AO58" s="33">
        <f>AO55+AO56+AO57</f>
        <v>0</v>
      </c>
      <c r="AP58" s="33"/>
      <c r="AQ58" s="33">
        <f>AQ55+AQ56+AQ57</f>
        <v>0</v>
      </c>
      <c r="AR58" s="33">
        <f>AR55+AR56+AR57</f>
        <v>0</v>
      </c>
      <c r="AS58" s="33"/>
      <c r="AT58" s="33">
        <f>AT55+AT56+AT57</f>
        <v>0</v>
      </c>
      <c r="AU58" s="33"/>
      <c r="AV58" s="33">
        <f>AV55+AV56+AV57</f>
        <v>0</v>
      </c>
      <c r="AW58" s="33"/>
      <c r="AX58" s="33">
        <f>AX55+AX56+AX57</f>
        <v>0</v>
      </c>
      <c r="AY58" s="33">
        <f>AY55+AY56+AY57</f>
        <v>0</v>
      </c>
      <c r="AZ58" s="33"/>
      <c r="BA58" s="33">
        <f>BA55+BA56+BA57</f>
        <v>0</v>
      </c>
      <c r="BB58" s="33">
        <f>BB55+BB56+BB57</f>
        <v>0</v>
      </c>
      <c r="BC58" s="33"/>
      <c r="BD58" s="33">
        <f>BD55+BD56+BD57</f>
        <v>0</v>
      </c>
      <c r="BE58" s="33"/>
      <c r="BF58" s="33">
        <f>BF55+BF56+BF57</f>
        <v>0</v>
      </c>
      <c r="BG58" s="33"/>
      <c r="BH58" s="33">
        <f>BH55+BH56+BH57</f>
        <v>0</v>
      </c>
      <c r="BI58" s="33"/>
      <c r="BJ58" s="33">
        <f>BJ55+BJ56+BJ57</f>
        <v>0</v>
      </c>
      <c r="BK58" s="33">
        <f>BK55+BK56+BK57</f>
        <v>0</v>
      </c>
      <c r="BL58" s="33"/>
      <c r="BM58" s="33"/>
      <c r="BN58" s="33">
        <f>BN55+BN56+BN57</f>
        <v>0</v>
      </c>
      <c r="BO58" s="33">
        <f>BO55+BO56+BO57</f>
        <v>0</v>
      </c>
      <c r="BP58" s="33">
        <f>BP55+BP56+BP57</f>
        <v>0</v>
      </c>
      <c r="BQ58" s="33"/>
      <c r="BR58" s="33">
        <f>BR55+BR56+BR57</f>
        <v>0</v>
      </c>
      <c r="BS58" s="33">
        <f>BS55+BS56+BS57</f>
        <v>0</v>
      </c>
      <c r="BT58" s="33">
        <f>BT55+BT56+BT57</f>
        <v>0</v>
      </c>
      <c r="BU58" s="33"/>
      <c r="BV58" s="33">
        <f>BV55+BV56+BV57</f>
        <v>0</v>
      </c>
      <c r="BW58" s="33">
        <f>BW55+BW56+BW57</f>
        <v>0</v>
      </c>
      <c r="BX58" s="33">
        <f>BX55+BX56+BX57</f>
        <v>0</v>
      </c>
      <c r="BY58" s="33"/>
      <c r="BZ58" s="33">
        <f>BZ55+BZ56+BZ57</f>
        <v>0</v>
      </c>
      <c r="CA58" s="33">
        <f>CA55+CA56+CA57</f>
        <v>0</v>
      </c>
      <c r="CB58" s="33">
        <f>CB55+CB56+CB57</f>
        <v>0</v>
      </c>
      <c r="CC58" s="33">
        <f>CC55+CC56+CC57</f>
        <v>0</v>
      </c>
      <c r="CD58" s="33">
        <f>CD55+CD56+CD57</f>
        <v>0</v>
      </c>
      <c r="CE58" s="33"/>
      <c r="CF58" s="33">
        <f>CF55+CF56+CF57</f>
        <v>0</v>
      </c>
      <c r="CG58" s="33">
        <f>CG55+CG56+CG57</f>
        <v>0</v>
      </c>
      <c r="CH58" s="33">
        <f>CH55+CH56+CH57</f>
        <v>0</v>
      </c>
      <c r="CI58" s="33">
        <f>CI55+CI56+CI57</f>
        <v>0</v>
      </c>
      <c r="CJ58" s="33">
        <f>CJ55+CJ56+CJ57</f>
        <v>0</v>
      </c>
      <c r="CL58" s="33">
        <f>SUM(B58:CK58)</f>
        <v>0</v>
      </c>
      <c r="CM58" s="33"/>
      <c r="CN58" s="33"/>
      <c r="CO58" s="33"/>
      <c r="CP58" s="33"/>
      <c r="CQ58" s="33"/>
      <c r="CR58" s="33"/>
      <c r="CS58" s="33"/>
      <c r="CT58" s="33"/>
      <c r="CU58" s="33"/>
      <c r="CV58" s="33">
        <f t="shared" si="0"/>
        <v>0</v>
      </c>
      <c r="CW58" s="33"/>
      <c r="CX58" s="33">
        <f t="shared" si="1"/>
        <v>0</v>
      </c>
      <c r="CY58" s="33">
        <f t="shared" si="2"/>
        <v>0</v>
      </c>
    </row>
    <row r="59" spans="1:103" ht="12.75">
      <c r="A59" s="77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>
        <f t="shared" si="0"/>
        <v>0</v>
      </c>
      <c r="CW59" s="33"/>
      <c r="CX59" s="33">
        <f t="shared" si="1"/>
        <v>0</v>
      </c>
      <c r="CY59" s="33">
        <f t="shared" si="2"/>
        <v>0</v>
      </c>
    </row>
    <row r="60" spans="1:103" ht="12.75">
      <c r="A60" s="78" t="s">
        <v>286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R60" s="8"/>
      <c r="S60" s="8"/>
      <c r="T60" s="8"/>
      <c r="U60" s="8"/>
      <c r="V60" s="8"/>
      <c r="W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L60" s="4"/>
      <c r="CM60" s="4"/>
      <c r="CN60" s="4"/>
      <c r="CO60" s="4"/>
      <c r="CP60" s="4"/>
      <c r="CQ60" s="4"/>
      <c r="CR60" s="33"/>
      <c r="CS60" s="33"/>
      <c r="CT60" s="33"/>
      <c r="CU60" s="4"/>
      <c r="CV60" s="33">
        <f t="shared" si="0"/>
        <v>0</v>
      </c>
      <c r="CW60" s="33"/>
      <c r="CX60" s="33">
        <f t="shared" si="1"/>
        <v>0</v>
      </c>
      <c r="CY60" s="33">
        <f t="shared" si="2"/>
        <v>0</v>
      </c>
    </row>
    <row r="61" spans="1:103" ht="12.75">
      <c r="A61" s="78" t="s">
        <v>138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L61" s="4"/>
      <c r="CM61" s="4"/>
      <c r="CN61" s="4"/>
      <c r="CO61" s="4"/>
      <c r="CP61" s="4"/>
      <c r="CQ61" s="4"/>
      <c r="CR61" s="33"/>
      <c r="CS61" s="33"/>
      <c r="CT61" s="33"/>
      <c r="CU61" s="4"/>
      <c r="CV61" s="33">
        <f t="shared" si="0"/>
        <v>0</v>
      </c>
      <c r="CW61" s="33"/>
      <c r="CX61" s="33">
        <f t="shared" si="1"/>
        <v>0</v>
      </c>
      <c r="CY61" s="33">
        <f t="shared" si="2"/>
        <v>0</v>
      </c>
    </row>
    <row r="62" spans="1:103" ht="12.75">
      <c r="A62" s="17" t="s">
        <v>299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  <c r="Q62" s="8"/>
      <c r="R62" s="9"/>
      <c r="S62" s="9"/>
      <c r="T62" s="9"/>
      <c r="U62" s="9"/>
      <c r="V62" s="9"/>
      <c r="W62" s="9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L62" s="4"/>
      <c r="CM62" s="4"/>
      <c r="CN62" s="4"/>
      <c r="CO62" s="4"/>
      <c r="CP62" s="4"/>
      <c r="CQ62" s="4"/>
      <c r="CR62" s="33"/>
      <c r="CS62" s="33"/>
      <c r="CT62" s="33"/>
      <c r="CU62" s="4"/>
      <c r="CV62" s="33">
        <f>+B62+D62+J62+L62+P62+R62+T62+V62+Y62+AA62+AC62+AD62+AF62+AG62+AH62+AI62+AK62+AM62+AO62+AQ62+AR62+AT62+AV62+AX62+AY62+BA62+BB62+BD62+BF62+BH62+BJ62+BK62+BN62+BO62+BP62+BQ62+BR62+BV62+BW62+BX62+BZ62+CC62+CD62+CF62+CG62+CH62+CI62+CJ62+CK62+CL62+CM62+CN62+CO62+CP62+CR62+CS62</f>
        <v>0</v>
      </c>
      <c r="CW62" s="33"/>
      <c r="CX62" s="33">
        <f>+D62+AQ62+BJ62+BN62+BR62+BW62+BZ62+CF62+CG62+CJ62+CM62+CN62+CO62+CR62</f>
        <v>0</v>
      </c>
      <c r="CY62" s="33">
        <f>+B62+J62+L62+P62+R62+T62+V62+Y62+AA62+AC62+AD62+AF62+AG62+AH62+AI62+AK62+AM62+AO62+AR62+AT62+AV62+AX62+AY62+BA62+BB62+BD62+BF62+BH62+BK62+BO62+BP62+BQ62+BV62+BX62+CC62+CD62+CH62+CI62+CK62+CL62+CP62+CS62</f>
        <v>0</v>
      </c>
    </row>
    <row r="63" spans="1:137" ht="12.75">
      <c r="A63" s="17" t="s">
        <v>300</v>
      </c>
      <c r="B63" s="83">
        <f>2*('3.2 Chaneges'!B33-'3.2 Chaneges'!B31-'3.2 Chaneges'!B42-('3.2 Chaneges'!B48+'3.2 Chaneges'!B52-'3.2 Chaneges'!B50))</f>
        <v>8408958.243999997</v>
      </c>
      <c r="C63" s="83">
        <f>2*('3.2 Chaneges'!C33-'3.2 Chaneges'!C31-'3.2 Chaneges'!C42-('3.2 Chaneges'!C48+'3.2 Chaneges'!C52-'3.2 Chaneges'!C50))</f>
        <v>22802.929999999997</v>
      </c>
      <c r="D63" s="83">
        <f>2*('3.2 Chaneges'!D33-'3.2 Chaneges'!D31-'3.2 Chaneges'!D42-('3.2 Chaneges'!D48+'3.2 Chaneges'!D52-'3.2 Chaneges'!D50))</f>
        <v>7610790</v>
      </c>
      <c r="E63" s="83">
        <f>2*('3.2 Chaneges'!E33-'3.2 Chaneges'!E31-'3.2 Chaneges'!E42-('3.2 Chaneges'!E48+'3.2 Chaneges'!E52-'3.2 Chaneges'!E50))</f>
        <v>7223224</v>
      </c>
      <c r="F63" s="83">
        <f>2*('3.2 Chaneges'!F33-'3.2 Chaneges'!F31-'3.2 Chaneges'!F42-('3.2 Chaneges'!F48+'3.2 Chaneges'!F52-'3.2 Chaneges'!F50))</f>
        <v>459946</v>
      </c>
      <c r="G63" s="83">
        <f>2*('3.2 Chaneges'!G33-'3.2 Chaneges'!G31-'3.2 Chaneges'!G42-('3.2 Chaneges'!G48+'3.2 Chaneges'!G52-'3.2 Chaneges'!G50))</f>
        <v>7994</v>
      </c>
      <c r="H63" s="83">
        <f>2*('3.2 Chaneges'!H33-'3.2 Chaneges'!H31-'3.2 Chaneges'!H42-('3.2 Chaneges'!H48+'3.2 Chaneges'!H52-'3.2 Chaneges'!H50))</f>
        <v>1238</v>
      </c>
      <c r="I63" s="83">
        <f>2*('3.2 Chaneges'!I33-'3.2 Chaneges'!I31-'3.2 Chaneges'!I42-('3.2 Chaneges'!I48+'3.2 Chaneges'!I52-'3.2 Chaneges'!I50))</f>
        <v>-81616</v>
      </c>
      <c r="J63" s="83">
        <f>2*('3.2 Chaneges'!J33-'3.2 Chaneges'!J31-'3.2 Chaneges'!J42-('3.2 Chaneges'!J48+'3.2 Chaneges'!J52-'3.2 Chaneges'!J50))</f>
        <v>3264491.204000001</v>
      </c>
      <c r="K63" s="83">
        <f>2*('3.2 Chaneges'!K33-'3.2 Chaneges'!K31-'3.2 Chaneges'!K42-('3.2 Chaneges'!K48+'3.2 Chaneges'!K52-'3.2 Chaneges'!K50))</f>
        <v>5809.686</v>
      </c>
      <c r="L63" s="83">
        <f>2*('3.2 Chaneges'!L33-'3.2 Chaneges'!L31-'3.2 Chaneges'!L42-('3.2 Chaneges'!L48+'3.2 Chaneges'!L52-'3.2 Chaneges'!L50))</f>
        <v>2625503.81</v>
      </c>
      <c r="M63" s="83">
        <f>2*('3.2 Chaneges'!M33-'3.2 Chaneges'!M31-'3.2 Chaneges'!M42-('3.2 Chaneges'!M48+'3.2 Chaneges'!M52-'3.2 Chaneges'!M50))</f>
        <v>2620360.882</v>
      </c>
      <c r="N63" s="83">
        <f>2*('3.2 Chaneges'!N33-'3.2 Chaneges'!N31-'3.2 Chaneges'!N42-('3.2 Chaneges'!N48+'3.2 Chaneges'!N52-'3.2 Chaneges'!N50))</f>
        <v>6430.164000000001</v>
      </c>
      <c r="O63" s="83">
        <f>2*('3.2 Chaneges'!O33-'3.2 Chaneges'!O31-'3.2 Chaneges'!O42-('3.2 Chaneges'!O48+'3.2 Chaneges'!O52-'3.2 Chaneges'!O50))</f>
        <v>-1287.2360000000003</v>
      </c>
      <c r="P63" s="83">
        <f>2*('3.2 Chaneges'!P33-'3.2 Chaneges'!P31-'3.2 Chaneges'!P42-('3.2 Chaneges'!P48+'3.2 Chaneges'!P52-'3.2 Chaneges'!P50))</f>
        <v>2859809.4680000003</v>
      </c>
      <c r="Q63" s="83">
        <f>2*('3.2 Chaneges'!Q33-'3.2 Chaneges'!Q31-'3.2 Chaneges'!Q42-('3.2 Chaneges'!Q48+'3.2 Chaneges'!Q52-'3.2 Chaneges'!Q50))</f>
        <v>248.22</v>
      </c>
      <c r="R63" s="83">
        <f>2*('3.2 Chaneges'!R33-'3.2 Chaneges'!R31-'3.2 Chaneges'!R42-('3.2 Chaneges'!R48+'3.2 Chaneges'!R52-'3.2 Chaneges'!R50))</f>
        <v>584843.0820000002</v>
      </c>
      <c r="S63" s="83">
        <f>2*('3.2 Chaneges'!S33-'3.2 Chaneges'!S31-'3.2 Chaneges'!S42-('3.2 Chaneges'!S48+'3.2 Chaneges'!S52-'3.2 Chaneges'!S50))</f>
        <v>1601.316</v>
      </c>
      <c r="T63" s="83">
        <f>2*('3.2 Chaneges'!T33-'3.2 Chaneges'!T31-'3.2 Chaneges'!T42-('3.2 Chaneges'!T48+'3.2 Chaneges'!T52-'3.2 Chaneges'!T50))</f>
        <v>2050705.93</v>
      </c>
      <c r="U63" s="83">
        <f>2*('3.2 Chaneges'!U33-'3.2 Chaneges'!U31-'3.2 Chaneges'!U42-('3.2 Chaneges'!U48+'3.2 Chaneges'!U52-'3.2 Chaneges'!U50))</f>
        <v>-548.89</v>
      </c>
      <c r="V63" s="83">
        <f>2*('3.2 Chaneges'!V33-'3.2 Chaneges'!V31-'3.2 Chaneges'!V42-('3.2 Chaneges'!V48+'3.2 Chaneges'!V52-'3.2 Chaneges'!V50))</f>
        <v>489243.808</v>
      </c>
      <c r="W63" s="83">
        <f>2*('3.2 Chaneges'!W33-'3.2 Chaneges'!W31-'3.2 Chaneges'!W42-('3.2 Chaneges'!W48+'3.2 Chaneges'!W52-'3.2 Chaneges'!W50))</f>
        <v>402677.5019999999</v>
      </c>
      <c r="X63" s="83">
        <f>2*('3.2 Chaneges'!X33-'3.2 Chaneges'!X31-'3.2 Chaneges'!X42-('3.2 Chaneges'!X48+'3.2 Chaneges'!X52-'3.2 Chaneges'!X50))</f>
        <v>86566.306</v>
      </c>
      <c r="Y63" s="83">
        <f>2*('3.2 Chaneges'!Y33-'3.2 Chaneges'!Y31-'3.2 Chaneges'!Y42-('3.2 Chaneges'!Y48+'3.2 Chaneges'!Y52-'3.2 Chaneges'!Y50))</f>
        <v>1328150.82</v>
      </c>
      <c r="Z63" s="83">
        <f>2*('3.2 Chaneges'!Z33-'3.2 Chaneges'!Z31-'3.2 Chaneges'!Z42-('3.2 Chaneges'!Z48+'3.2 Chaneges'!Z52-'3.2 Chaneges'!Z50))</f>
        <v>613.344</v>
      </c>
      <c r="AA63" s="83">
        <f>2*('3.2 Chaneges'!AA33-'3.2 Chaneges'!AA31-'3.2 Chaneges'!AA42-('3.2 Chaneges'!AA48+'3.2 Chaneges'!AA52-'3.2 Chaneges'!AA50))</f>
        <v>1795136.096</v>
      </c>
      <c r="AB63" s="83">
        <f>2*('3.2 Chaneges'!AB33-'3.2 Chaneges'!AB31-'3.2 Chaneges'!AB42-('3.2 Chaneges'!AB48+'3.2 Chaneges'!AB52-'3.2 Chaneges'!AB50))</f>
        <v>55367.442</v>
      </c>
      <c r="AC63" s="83">
        <f>2*('3.2 Chaneges'!AC33-'3.2 Chaneges'!AC31-'3.2 Chaneges'!AC42-('3.2 Chaneges'!AC48+'3.2 Chaneges'!AC52-'3.2 Chaneges'!AC50))</f>
        <v>-74945.03999999996</v>
      </c>
      <c r="AD63" s="83">
        <f>2*('3.2 Chaneges'!AD33-'3.2 Chaneges'!AD31-'3.2 Chaneges'!AD42-('3.2 Chaneges'!AD48+'3.2 Chaneges'!AD52-'3.2 Chaneges'!AD50))</f>
        <v>-230347.3860000002</v>
      </c>
      <c r="AE63" s="83">
        <f>2*('3.2 Chaneges'!AE33-'3.2 Chaneges'!AE31-'3.2 Chaneges'!AE42-('3.2 Chaneges'!AE48+'3.2 Chaneges'!AE52-'3.2 Chaneges'!AE50))</f>
        <v>-136</v>
      </c>
      <c r="AF63" s="83">
        <f>2*('3.2 Chaneges'!AF33-'3.2 Chaneges'!AF31-'3.2 Chaneges'!AF42-('3.2 Chaneges'!AF48+'3.2 Chaneges'!AF52-'3.2 Chaneges'!AF50))</f>
        <v>-78688</v>
      </c>
      <c r="AG63" s="83">
        <f>2*('3.2 Chaneges'!AG33-'3.2 Chaneges'!AG31-'3.2 Chaneges'!AG42-('3.2 Chaneges'!AG48+'3.2 Chaneges'!AG52-'3.2 Chaneges'!AG50))</f>
        <v>517941.1019999999</v>
      </c>
      <c r="AH63" s="83">
        <f>2*('3.2 Chaneges'!AH33-'3.2 Chaneges'!AH31-'3.2 Chaneges'!AH42-('3.2 Chaneges'!AH48+'3.2 Chaneges'!AH52-'3.2 Chaneges'!AH50))</f>
        <v>69835.14799999996</v>
      </c>
      <c r="AI63" s="83">
        <f>2*('3.2 Chaneges'!AI33-'3.2 Chaneges'!AI31-'3.2 Chaneges'!AI42-('3.2 Chaneges'!AI48+'3.2 Chaneges'!AI52-'3.2 Chaneges'!AI50))</f>
        <v>-858598.7579999999</v>
      </c>
      <c r="AJ63" s="83">
        <f>2*('3.2 Chaneges'!AJ33-'3.2 Chaneges'!AJ31-'3.2 Chaneges'!AJ42-('3.2 Chaneges'!AJ48+'3.2 Chaneges'!AJ52-'3.2 Chaneges'!AJ50))</f>
        <v>2155.764</v>
      </c>
      <c r="AK63" s="83">
        <f>2*('3.2 Chaneges'!AK33-'3.2 Chaneges'!AK31-'3.2 Chaneges'!AK42-('3.2 Chaneges'!AK48+'3.2 Chaneges'!AK52-'3.2 Chaneges'!AK50))</f>
        <v>874128.6879999998</v>
      </c>
      <c r="AL63" s="83">
        <f>2*('3.2 Chaneges'!AL33-'3.2 Chaneges'!AL31-'3.2 Chaneges'!AL42-('3.2 Chaneges'!AL48+'3.2 Chaneges'!AL52-'3.2 Chaneges'!AL50))</f>
        <v>432.284</v>
      </c>
      <c r="AM63" s="83">
        <f>2*('3.2 Chaneges'!AM33-'3.2 Chaneges'!AM31-'3.2 Chaneges'!AM42-('3.2 Chaneges'!AM48+'3.2 Chaneges'!AM52-'3.2 Chaneges'!AM50))</f>
        <v>487888.0620000001</v>
      </c>
      <c r="AN63" s="83">
        <f>2*('3.2 Chaneges'!AN33-'3.2 Chaneges'!AN31-'3.2 Chaneges'!AN42-('3.2 Chaneges'!AN48+'3.2 Chaneges'!AN52-'3.2 Chaneges'!AN50))</f>
        <v>-149828</v>
      </c>
      <c r="AO63" s="83">
        <f>2*('3.2 Chaneges'!AO33-'3.2 Chaneges'!AO31-'3.2 Chaneges'!AO42-('3.2 Chaneges'!AO48+'3.2 Chaneges'!AO52-'3.2 Chaneges'!AO50))</f>
        <v>98068.03599999998</v>
      </c>
      <c r="AP63" s="83">
        <f>2*('3.2 Chaneges'!AP33-'3.2 Chaneges'!AP31-'3.2 Chaneges'!AP42-('3.2 Chaneges'!AP48+'3.2 Chaneges'!AP52-'3.2 Chaneges'!AP50))</f>
        <v>-470736</v>
      </c>
      <c r="AQ63" s="83">
        <f>2*('3.2 Chaneges'!AQ33-'3.2 Chaneges'!AQ31-'3.2 Chaneges'!AQ42-('3.2 Chaneges'!AQ48+'3.2 Chaneges'!AQ52-'3.2 Chaneges'!AQ50))</f>
        <v>662690.6880000001</v>
      </c>
      <c r="AR63" s="83">
        <f>2*('3.2 Chaneges'!AR33-'3.2 Chaneges'!AR31-'3.2 Chaneges'!AR42-('3.2 Chaneges'!AR48+'3.2 Chaneges'!AR52-'3.2 Chaneges'!AR50))</f>
        <v>198595.73600000003</v>
      </c>
      <c r="AS63" s="83">
        <f>2*('3.2 Chaneges'!AS33-'3.2 Chaneges'!AS31-'3.2 Chaneges'!AS42-('3.2 Chaneges'!AS48+'3.2 Chaneges'!AS52-'3.2 Chaneges'!AS50))</f>
        <v>57.12999999999998</v>
      </c>
      <c r="AT63" s="83">
        <f>2*('3.2 Chaneges'!AT33-'3.2 Chaneges'!AT31-'3.2 Chaneges'!AT42-('3.2 Chaneges'!AT48+'3.2 Chaneges'!AT52-'3.2 Chaneges'!AT50))</f>
        <v>935147.622</v>
      </c>
      <c r="AU63" s="83">
        <f>2*('3.2 Chaneges'!AU33-'3.2 Chaneges'!AU31-'3.2 Chaneges'!AU42-('3.2 Chaneges'!AU48+'3.2 Chaneges'!AU52-'3.2 Chaneges'!AU50))</f>
        <v>75.95599999999999</v>
      </c>
      <c r="AV63" s="83">
        <f>2*('3.2 Chaneges'!AV33-'3.2 Chaneges'!AV31-'3.2 Chaneges'!AV42-('3.2 Chaneges'!AV48+'3.2 Chaneges'!AV52-'3.2 Chaneges'!AV50))</f>
        <v>-427026</v>
      </c>
      <c r="AW63" s="83">
        <f>2*('3.2 Chaneges'!AW33-'3.2 Chaneges'!AW31-'3.2 Chaneges'!AW42-('3.2 Chaneges'!AW48+'3.2 Chaneges'!AW52-'3.2 Chaneges'!AW50))</f>
        <v>-345190</v>
      </c>
      <c r="AX63" s="83">
        <f>2*('3.2 Chaneges'!AX33-'3.2 Chaneges'!AX31-'3.2 Chaneges'!AX42-('3.2 Chaneges'!AX48+'3.2 Chaneges'!AX52-'3.2 Chaneges'!AX50))</f>
        <v>321865.12400000007</v>
      </c>
      <c r="AY63" s="83">
        <f>2*('3.2 Chaneges'!AY33-'3.2 Chaneges'!AY31-'3.2 Chaneges'!AY42-('3.2 Chaneges'!AY48+'3.2 Chaneges'!AY52-'3.2 Chaneges'!AY50))</f>
        <v>49433.172000000006</v>
      </c>
      <c r="AZ63" s="83">
        <f>2*('3.2 Chaneges'!AZ33-'3.2 Chaneges'!AZ31-'3.2 Chaneges'!AZ42-('3.2 Chaneges'!AZ48+'3.2 Chaneges'!AZ52-'3.2 Chaneges'!AZ50))</f>
        <v>-325368.21800000005</v>
      </c>
      <c r="BA63" s="83">
        <f>2*('3.2 Chaneges'!BA33-'3.2 Chaneges'!BA31-'3.2 Chaneges'!BA42-('3.2 Chaneges'!BA48+'3.2 Chaneges'!BA52-'3.2 Chaneges'!BA50))</f>
        <v>228602.58000000002</v>
      </c>
      <c r="BB63" s="83">
        <f>2*('3.2 Chaneges'!BB33-'3.2 Chaneges'!BB31-'3.2 Chaneges'!BB42-('3.2 Chaneges'!BB48+'3.2 Chaneges'!BB52-'3.2 Chaneges'!BB50))</f>
        <v>-44930.82599999997</v>
      </c>
      <c r="BC63" s="83">
        <f>2*('3.2 Chaneges'!BC33-'3.2 Chaneges'!BC31-'3.2 Chaneges'!BC42-('3.2 Chaneges'!BC48+'3.2 Chaneges'!BC52-'3.2 Chaneges'!BC50))</f>
        <v>-49109.82999999998</v>
      </c>
      <c r="BD63" s="83">
        <f>2*('3.2 Chaneges'!BD33-'3.2 Chaneges'!BD31-'3.2 Chaneges'!BD42-('3.2 Chaneges'!BD48+'3.2 Chaneges'!BD52-'3.2 Chaneges'!BD50))</f>
        <v>441421.0939999999</v>
      </c>
      <c r="BE63" s="83">
        <f>2*('3.2 Chaneges'!BE33-'3.2 Chaneges'!BE31-'3.2 Chaneges'!BE42-('3.2 Chaneges'!BE48+'3.2 Chaneges'!BE52-'3.2 Chaneges'!BE50))</f>
        <v>135.804</v>
      </c>
      <c r="BF63" s="83">
        <f>2*('3.2 Chaneges'!BF33-'3.2 Chaneges'!BF31-'3.2 Chaneges'!BF42-('3.2 Chaneges'!BF48+'3.2 Chaneges'!BF52-'3.2 Chaneges'!BF50))</f>
        <v>479585.67000000004</v>
      </c>
      <c r="BG63" s="83">
        <f>2*('3.2 Chaneges'!BG33-'3.2 Chaneges'!BG31-'3.2 Chaneges'!BG42-('3.2 Chaneges'!BG48+'3.2 Chaneges'!BG52-'3.2 Chaneges'!BG50))</f>
        <v>5762.028</v>
      </c>
      <c r="BH63" s="83">
        <f>2*('3.2 Chaneges'!BH33-'3.2 Chaneges'!BH31-'3.2 Chaneges'!BH42-('3.2 Chaneges'!BH48+'3.2 Chaneges'!BH52-'3.2 Chaneges'!BH50))</f>
        <v>471367.16799999995</v>
      </c>
      <c r="BI63" s="83">
        <f>2*('3.2 Chaneges'!BI33-'3.2 Chaneges'!BI31-'3.2 Chaneges'!BI42-('3.2 Chaneges'!BI48+'3.2 Chaneges'!BI52-'3.2 Chaneges'!BI50))</f>
        <v>5343.04</v>
      </c>
      <c r="BJ63" s="83">
        <f>2*('3.2 Chaneges'!BJ33-'3.2 Chaneges'!BJ31-'3.2 Chaneges'!BJ42-('3.2 Chaneges'!BJ48+'3.2 Chaneges'!BJ52-'3.2 Chaneges'!BJ50))</f>
        <v>226800.80399999995</v>
      </c>
      <c r="BK63" s="83">
        <f>2*('3.2 Chaneges'!BK33-'3.2 Chaneges'!BK31-'3.2 Chaneges'!BK42-('3.2 Chaneges'!BK48+'3.2 Chaneges'!BK52-'3.2 Chaneges'!BK50))</f>
        <v>-208369.13199999993</v>
      </c>
      <c r="BL63" s="83">
        <f>2*('3.2 Chaneges'!BL33-'3.2 Chaneges'!BL31-'3.2 Chaneges'!BL42-('3.2 Chaneges'!BL48+'3.2 Chaneges'!BL52-'3.2 Chaneges'!BL50))</f>
        <v>-228328.54999999993</v>
      </c>
      <c r="BM63" s="83">
        <f>2*('3.2 Chaneges'!BM33-'3.2 Chaneges'!BM31-'3.2 Chaneges'!BM42-('3.2 Chaneges'!BM48+'3.2 Chaneges'!BM52-'3.2 Chaneges'!BM50))</f>
        <v>19959.417999999998</v>
      </c>
      <c r="BN63" s="83">
        <f>2*('3.2 Chaneges'!BN33-'3.2 Chaneges'!BN31-'3.2 Chaneges'!BN42-('3.2 Chaneges'!BN48+'3.2 Chaneges'!BN52-'3.2 Chaneges'!BN50))</f>
        <v>51579.08999999999</v>
      </c>
      <c r="BO63" s="83">
        <f>2*('3.2 Chaneges'!BO33-'3.2 Chaneges'!BO31-'3.2 Chaneges'!BO42-('3.2 Chaneges'!BO48+'3.2 Chaneges'!BO52-'3.2 Chaneges'!BO50))</f>
        <v>254939.62</v>
      </c>
      <c r="BP63" s="83">
        <f>2*('3.2 Chaneges'!BP33-'3.2 Chaneges'!BP31-'3.2 Chaneges'!BP42-('3.2 Chaneges'!BP48+'3.2 Chaneges'!BP52-'3.2 Chaneges'!BP50))</f>
        <v>-68967.32800000001</v>
      </c>
      <c r="BQ63" s="83">
        <f>2*('3.2 Chaneges'!BQ33-'3.2 Chaneges'!BQ31-'3.2 Chaneges'!BQ42-('3.2 Chaneges'!BQ48+'3.2 Chaneges'!BQ52-'3.2 Chaneges'!BQ50))</f>
        <v>252645.10600000003</v>
      </c>
      <c r="BR63" s="83">
        <f>2*('3.2 Chaneges'!BR33-'3.2 Chaneges'!BR31-'3.2 Chaneges'!BR42-('3.2 Chaneges'!BR48+'3.2 Chaneges'!BR52-'3.2 Chaneges'!BR50))</f>
        <v>-126644.42000000001</v>
      </c>
      <c r="BS63" s="83">
        <f>2*('3.2 Chaneges'!BS33-'3.2 Chaneges'!BS31-'3.2 Chaneges'!BS42-('3.2 Chaneges'!BS48+'3.2 Chaneges'!BS52-'3.2 Chaneges'!BS50))</f>
        <v>-110090.41599999997</v>
      </c>
      <c r="BT63" s="83">
        <f>2*('3.2 Chaneges'!BT33-'3.2 Chaneges'!BT31-'3.2 Chaneges'!BT42-('3.2 Chaneges'!BT48+'3.2 Chaneges'!BT52-'3.2 Chaneges'!BT50))</f>
        <v>-14963.264</v>
      </c>
      <c r="BU63" s="83">
        <f>2*('3.2 Chaneges'!BU33-'3.2 Chaneges'!BU31-'3.2 Chaneges'!BU42-('3.2 Chaneges'!BU48+'3.2 Chaneges'!BU52-'3.2 Chaneges'!BU50))</f>
        <v>-1590.738</v>
      </c>
      <c r="BV63" s="83">
        <f>2*('3.2 Chaneges'!BV33-'3.2 Chaneges'!BV31-'3.2 Chaneges'!BV42-('3.2 Chaneges'!BV48+'3.2 Chaneges'!BV52-'3.2 Chaneges'!BV50))</f>
        <v>-68008.538</v>
      </c>
      <c r="BW63" s="83">
        <f>2*('3.2 Chaneges'!BW33-'3.2 Chaneges'!BW31-'3.2 Chaneges'!BW42-('3.2 Chaneges'!BW48+'3.2 Chaneges'!BW52-'3.2 Chaneges'!BW50))</f>
        <v>162875.982</v>
      </c>
      <c r="BX63" s="83">
        <f>2*('3.2 Chaneges'!BX33-'3.2 Chaneges'!BX31-'3.2 Chaneges'!BX42-('3.2 Chaneges'!BX48+'3.2 Chaneges'!BX52-'3.2 Chaneges'!BX50))</f>
        <v>-119715.92599999998</v>
      </c>
      <c r="BY63" s="83">
        <f>2*('3.2 Chaneges'!BY33-'3.2 Chaneges'!BY31-'3.2 Chaneges'!BY42-('3.2 Chaneges'!BY48+'3.2 Chaneges'!BY52-'3.2 Chaneges'!BY50))</f>
        <v>-114967.422</v>
      </c>
      <c r="BZ63" s="83">
        <f>2*('3.2 Chaneges'!BZ33-'3.2 Chaneges'!BZ31-'3.2 Chaneges'!BZ42-('3.2 Chaneges'!BZ48+'3.2 Chaneges'!BZ52-'3.2 Chaneges'!BZ50))</f>
        <v>97257.01400000001</v>
      </c>
      <c r="CA63" s="83">
        <f>2*('3.2 Chaneges'!CA33-'3.2 Chaneges'!CA31-'3.2 Chaneges'!CA42-('3.2 Chaneges'!CA48+'3.2 Chaneges'!CA52-'3.2 Chaneges'!CA50))</f>
        <v>-11265.121999999974</v>
      </c>
      <c r="CB63" s="83">
        <f>2*('3.2 Chaneges'!CB33-'3.2 Chaneges'!CB31-'3.2 Chaneges'!CB42-('3.2 Chaneges'!CB48+'3.2 Chaneges'!CB52-'3.2 Chaneges'!CB50))</f>
        <v>108522.13599999998</v>
      </c>
      <c r="CC63" s="83">
        <f>2*('3.2 Chaneges'!CC33-'3.2 Chaneges'!CC31-'3.2 Chaneges'!CC42-('3.2 Chaneges'!CC48+'3.2 Chaneges'!CC52-'3.2 Chaneges'!CC50))</f>
        <v>161030.228</v>
      </c>
      <c r="CD63" s="83">
        <f>2*('3.2 Chaneges'!CD33-'3.2 Chaneges'!CD31-'3.2 Chaneges'!CD42-('3.2 Chaneges'!CD48+'3.2 Chaneges'!CD52-'3.2 Chaneges'!CD50))</f>
        <v>-102576.984</v>
      </c>
      <c r="CE63" s="83">
        <f>2*('3.2 Chaneges'!CE33-'3.2 Chaneges'!CE31-'3.2 Chaneges'!CE42-('3.2 Chaneges'!CE48+'3.2 Chaneges'!CE52-'3.2 Chaneges'!CE50))</f>
        <v>-188741.492</v>
      </c>
      <c r="CF63" s="83">
        <f>2*('3.2 Chaneges'!CF33-'3.2 Chaneges'!CF31-'3.2 Chaneges'!CF42-('3.2 Chaneges'!CF48+'3.2 Chaneges'!CF52-'3.2 Chaneges'!CF50))</f>
        <v>149887.31599999996</v>
      </c>
      <c r="CG63" s="83">
        <f>2*('3.2 Chaneges'!CG33-'3.2 Chaneges'!CG31-'3.2 Chaneges'!CG42-('3.2 Chaneges'!CG48+'3.2 Chaneges'!CG52-'3.2 Chaneges'!CG50))</f>
        <v>142922.08600000004</v>
      </c>
      <c r="CH63" s="83">
        <f>2*('3.2 Chaneges'!CH33-'3.2 Chaneges'!CH31-'3.2 Chaneges'!CH42-('3.2 Chaneges'!CH48+'3.2 Chaneges'!CH52-'3.2 Chaneges'!CH50))</f>
        <v>30903.530000000002</v>
      </c>
      <c r="CI63" s="83">
        <f>2*('3.2 Chaneges'!CI33-'3.2 Chaneges'!CI31-'3.2 Chaneges'!CI42-('3.2 Chaneges'!CI48+'3.2 Chaneges'!CI52-'3.2 Chaneges'!CI50))</f>
        <v>84023.768</v>
      </c>
      <c r="CJ63" s="83">
        <f>2*('3.2 Chaneges'!CJ33-'3.2 Chaneges'!CJ31-'3.2 Chaneges'!CJ42-('3.2 Chaneges'!CJ48+'3.2 Chaneges'!CJ52-'3.2 Chaneges'!CJ50))</f>
        <v>34143.09400000001</v>
      </c>
      <c r="CK63" s="83">
        <f>2*('3.2 Chaneges'!CK33-'3.2 Chaneges'!CK31-'3.2 Chaneges'!CK42-('3.2 Chaneges'!CK48+'3.2 Chaneges'!CK52-'3.2 Chaneges'!CK50))</f>
        <v>37490.112</v>
      </c>
      <c r="CL63" s="83">
        <f>2*('3.2 Chaneges'!CL33-'3.2 Chaneges'!CL31-'3.2 Chaneges'!CL42-('3.2 Chaneges'!CL48+'3.2 Chaneges'!CL52-'3.2 Chaneges'!CL50))</f>
        <v>92970.88800000002</v>
      </c>
      <c r="CM63" s="83">
        <f>2*('3.2 Chaneges'!CM33-'3.2 Chaneges'!CM31-'3.2 Chaneges'!CM42-('3.2 Chaneges'!CM48+'3.2 Chaneges'!CM52-'3.2 Chaneges'!CM50))</f>
        <v>38602.024</v>
      </c>
      <c r="CN63" s="83">
        <f>2*('3.2 Chaneges'!CN33-'3.2 Chaneges'!CN31-'3.2 Chaneges'!CN42-('3.2 Chaneges'!CN48+'3.2 Chaneges'!CN52-'3.2 Chaneges'!CN50))</f>
        <v>12273.54</v>
      </c>
      <c r="CO63" s="83">
        <f>2*('3.2 Chaneges'!CO33-'3.2 Chaneges'!CO31-'3.2 Chaneges'!CO42-('3.2 Chaneges'!CO48+'3.2 Chaneges'!CO52-'3.2 Chaneges'!CO50))</f>
        <v>14671.92</v>
      </c>
      <c r="CP63" s="83">
        <f>2*('3.2 Chaneges'!CP33-'3.2 Chaneges'!CP31-'3.2 Chaneges'!CP42-('3.2 Chaneges'!CP48+'3.2 Chaneges'!CP52-'3.2 Chaneges'!CP50))</f>
        <v>16890.933999999997</v>
      </c>
      <c r="CQ63" s="83">
        <f>2*('3.2 Chaneges'!CQ33-'3.2 Chaneges'!CQ31-'3.2 Chaneges'!CQ42-('3.2 Chaneges'!CQ48+'3.2 Chaneges'!CQ52-'3.2 Chaneges'!CQ50))</f>
        <v>13755.028</v>
      </c>
      <c r="CR63" s="83">
        <f>2*('3.2 Chaneges'!CR33-'3.2 Chaneges'!CR31-'3.2 Chaneges'!CR42-('3.2 Chaneges'!CR48+'3.2 Chaneges'!CR52-'3.2 Chaneges'!CR50))</f>
        <v>11511.806</v>
      </c>
      <c r="CS63" s="83">
        <f>2*('3.2 Chaneges'!CS33-'3.2 Chaneges'!CS31-'3.2 Chaneges'!CS42-('3.2 Chaneges'!CS48+'3.2 Chaneges'!CS52-'3.2 Chaneges'!CS50))</f>
        <v>222.72599999999994</v>
      </c>
      <c r="CT63" s="83"/>
      <c r="CU63" s="83"/>
      <c r="CV63" s="33">
        <f>+B63+D63+J63+L63+P63+R63+T63+V63+Y63+AA63+AC63+AD63+AF63+AG63+AH63+AI63+AK63+AM63+AO63+AQ63+AR63+AT63+AV63+AX63+AY63+BA63+BB63+BD63+BF63+BH63+BJ63+BK63+BN63+BO63+BP63+BQ63+BR63+BV63+BW63+BX63+BZ63+CC63+CD63+CF63+CG63+CH63+CI63+CJ63+CK63+CL63+CM63+CN63+CO63+CP63+CR63+CS63</f>
        <v>36319025.60199999</v>
      </c>
      <c r="CW63" s="33"/>
      <c r="CX63" s="33">
        <f>+D63+AQ63+BJ63+BN63+BR63+BW63+BZ63+CF63+CG63+CJ63+CM63+CN63+CO63+CR63</f>
        <v>9089360.944</v>
      </c>
      <c r="CY63" s="33">
        <f>+B63+J63+L63+P63+R63+T63+V63+Y63+AA63+AC63+AD63+AF63+AG63+AH63+AI63+AK63+AM63+AO63+AR63+AT63+AV63+AX63+AY63+BA63+BB63+BD63+BF63+BH63+BK63+BO63+BP63+BQ63+BV63+BX63+CC63+CD63+CH63+CI63+CK63+CL63+CP63+CS63</f>
        <v>27229664.657999996</v>
      </c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</row>
    <row r="64" spans="1:137" ht="12.75">
      <c r="A64" s="63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4"/>
      <c r="AJ64" s="84"/>
      <c r="AK64" s="85"/>
      <c r="AL64" s="85"/>
      <c r="AM64" s="85"/>
      <c r="AN64" s="85"/>
      <c r="AO64" s="85"/>
      <c r="AP64" s="85"/>
      <c r="AQ64" s="85"/>
      <c r="AR64" s="84"/>
      <c r="AS64" s="84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4"/>
      <c r="BY64" s="84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L64" s="83"/>
      <c r="CM64" s="83"/>
      <c r="CN64" s="83"/>
      <c r="CO64" s="83"/>
      <c r="CP64" s="86"/>
      <c r="CQ64" s="86"/>
      <c r="CR64" s="33"/>
      <c r="CS64" s="33"/>
      <c r="CT64" s="33"/>
      <c r="CU64" s="86"/>
      <c r="CV64" s="33">
        <f>+B64+D64+J64+L64+P64+R64+T64+V64+Y64+AA64+AC64+AD64+AF64+AG64+AH64+AI64+AK64+AM64+AO64+AQ64+AR64+AT64+AV64+AX64+AY64+BA64+BB64+BD64+BF64+BH64+BJ64+BK64+BN64+BO64+BP64+BQ64+BR64+BV64+BW64+BX64+BZ64+CC64+CD64+CF64+CG64+CH64+CI64+CJ64+CK64+CL64+CM64+CN64+CO64+CP64+CR64+CS64</f>
        <v>0</v>
      </c>
      <c r="CW64" s="33"/>
      <c r="CX64" s="33">
        <f>+D64+AQ64+BJ64+BN64+BR64+BW64+BZ64+CF64+CG64+CJ64+CM64+CN64+CO64+CR64</f>
        <v>0</v>
      </c>
      <c r="CY64" s="33">
        <f>+B64+J64+L64+P64+R64+T64+V64+Y64+AA64+AC64+AD64+AF64+AG64+AH64+AI64+AK64+AM64+AO64+AR64+AT64+AV64+AX64+AY64+BA64+BB64+BD64+BF64+BH64+BK64+BO64+BP64+BQ64+BV64+BX64+CC64+CD64+CH64+CI64+CK64+CL64+CP64+CS64</f>
        <v>0</v>
      </c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</row>
    <row r="65" spans="1:137" ht="12.75">
      <c r="A65" s="17" t="s">
        <v>145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4"/>
      <c r="AJ65" s="84"/>
      <c r="AK65" s="87"/>
      <c r="AL65" s="87"/>
      <c r="AM65" s="87"/>
      <c r="AN65" s="87"/>
      <c r="AO65" s="87"/>
      <c r="AP65" s="87"/>
      <c r="AQ65" s="87"/>
      <c r="AR65" s="84"/>
      <c r="AS65" s="84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4"/>
      <c r="BY65" s="84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L65" s="83"/>
      <c r="CM65" s="83"/>
      <c r="CN65" s="83"/>
      <c r="CO65" s="83"/>
      <c r="CP65" s="86"/>
      <c r="CQ65" s="86"/>
      <c r="CR65" s="33"/>
      <c r="CS65" s="33"/>
      <c r="CT65" s="33"/>
      <c r="CU65" s="86"/>
      <c r="CV65" s="33">
        <f>+B65+D65+J65+L65+P65+R65+T65+V65+Y65+AA65+AC65+AD65+AF65+AG65+AH65+AI65+AK65+AM65+AO65+AQ65+AR65+AT65+AV65+AX65+AY65+BA65+BB65+BD65+BF65+BH65+BJ65+BK65+BN65+BO65+BP65+BQ65+BR65+BV65+BW65+BX65+BZ65+CC65+CD65+CF65+CG65+CH65+CI65+CJ65+CK65+CL65+CM65+CN65+CO65+CP65+CR65+CS65</f>
        <v>0</v>
      </c>
      <c r="CW65" s="33"/>
      <c r="CX65" s="33">
        <f>+D65+AQ65+BJ65+BN65+BR65+BW65+BZ65+CF65+CG65+CJ65+CM65+CN65+CO65+CR65</f>
        <v>0</v>
      </c>
      <c r="CY65" s="33">
        <f>+B65+J65+L65+P65+R65+T65+V65+Y65+AA65+AC65+AD65+AF65+AG65+AH65+AI65+AK65+AM65+AO65+AR65+AT65+AV65+AX65+AY65+BA65+BB65+BD65+BF65+BH65+BK65+BO65+BP65+BQ65+BV65+BX65+CC65+CD65+CH65+CI65+CK65+CL65+CP65+CS65</f>
        <v>0</v>
      </c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</row>
    <row r="66" spans="1:137" ht="12.75">
      <c r="A66" s="17" t="s">
        <v>146</v>
      </c>
      <c r="B66" s="83">
        <f>'3.2 Chaneges'!B65+'3.2 Chaneges'!B68-('3.2 Chaneges'!B33-'3.2 Chaneges'!B31-'3.2 Chaneges'!B42-('3.2 Chaneges'!B48+'3.2 Chaneges'!B52-'3.2 Chaneges'!B50))</f>
        <v>158660519.964</v>
      </c>
      <c r="C66" s="83">
        <f>'3.2 Chaneges'!C65+'3.2 Chaneges'!C68-('3.2 Chaneges'!C33-'3.2 Chaneges'!C31-'3.2 Chaneges'!C42-('3.2 Chaneges'!C48+'3.2 Chaneges'!C52-'3.2 Chaneges'!C50))</f>
        <v>483941.435</v>
      </c>
      <c r="D66" s="83">
        <f>'3.2 Chaneges'!D65+'3.2 Chaneges'!D68-('3.2 Chaneges'!D33-'3.2 Chaneges'!D31-'3.2 Chaneges'!D42-('3.2 Chaneges'!D48+'3.2 Chaneges'!D52-'3.2 Chaneges'!D50))</f>
        <v>133388342.36199999</v>
      </c>
      <c r="E66" s="83">
        <f>'3.2 Chaneges'!E65+'3.2 Chaneges'!E68-('3.2 Chaneges'!E33-'3.2 Chaneges'!E31-'3.2 Chaneges'!E42-('3.2 Chaneges'!E48+'3.2 Chaneges'!E52-'3.2 Chaneges'!E50))</f>
        <v>112248130</v>
      </c>
      <c r="F66" s="83">
        <f>'3.2 Chaneges'!F65+'3.2 Chaneges'!F68-('3.2 Chaneges'!F33-'3.2 Chaneges'!F31-'3.2 Chaneges'!F42-('3.2 Chaneges'!F48+'3.2 Chaneges'!F52-'3.2 Chaneges'!F50))</f>
        <v>20312788</v>
      </c>
      <c r="G66" s="83">
        <f>'3.2 Chaneges'!G65+'3.2 Chaneges'!G68-('3.2 Chaneges'!G33-'3.2 Chaneges'!G31-'3.2 Chaneges'!G42-('3.2 Chaneges'!G48+'3.2 Chaneges'!G52-'3.2 Chaneges'!G50))</f>
        <v>111518</v>
      </c>
      <c r="H66" s="83">
        <f>'3.2 Chaneges'!H65+'3.2 Chaneges'!H68-('3.2 Chaneges'!H33-'3.2 Chaneges'!H31-'3.2 Chaneges'!H42-('3.2 Chaneges'!H48+'3.2 Chaneges'!H52-'3.2 Chaneges'!H50))</f>
        <v>19174</v>
      </c>
      <c r="I66" s="83">
        <f>'3.2 Chaneges'!I65+'3.2 Chaneges'!I68-('3.2 Chaneges'!I33-'3.2 Chaneges'!I31-'3.2 Chaneges'!I42-('3.2 Chaneges'!I48+'3.2 Chaneges'!I52-'3.2 Chaneges'!I50))</f>
        <v>696735</v>
      </c>
      <c r="J66" s="83">
        <f>'3.2 Chaneges'!J65+'3.2 Chaneges'!J68-('3.2 Chaneges'!J33-'3.2 Chaneges'!J31-'3.2 Chaneges'!J42-('3.2 Chaneges'!J48+'3.2 Chaneges'!J52-'3.2 Chaneges'!J50))</f>
        <v>92030877.003</v>
      </c>
      <c r="K66" s="83">
        <f>'3.2 Chaneges'!K65+'3.2 Chaneges'!K68-('3.2 Chaneges'!K33-'3.2 Chaneges'!K31-'3.2 Chaneges'!K42-('3.2 Chaneges'!K48+'3.2 Chaneges'!K52-'3.2 Chaneges'!K50))</f>
        <v>57315.008</v>
      </c>
      <c r="L66" s="83">
        <f>'3.2 Chaneges'!L65+'3.2 Chaneges'!L68-('3.2 Chaneges'!L33-'3.2 Chaneges'!L31-'3.2 Chaneges'!L42-('3.2 Chaneges'!L48+'3.2 Chaneges'!L52-'3.2 Chaneges'!L50))</f>
        <v>80316996.09099999</v>
      </c>
      <c r="M66" s="83">
        <f>'3.2 Chaneges'!M65+'3.2 Chaneges'!M68-('3.2 Chaneges'!M33-'3.2 Chaneges'!M31-'3.2 Chaneges'!M42-('3.2 Chaneges'!M48+'3.2 Chaneges'!M52-'3.2 Chaneges'!M50))</f>
        <v>80127407.85200001</v>
      </c>
      <c r="N66" s="83">
        <f>'3.2 Chaneges'!N65+'3.2 Chaneges'!N68-('3.2 Chaneges'!N33-'3.2 Chaneges'!N31-'3.2 Chaneges'!N42-('3.2 Chaneges'!N48+'3.2 Chaneges'!N52-'3.2 Chaneges'!N50))</f>
        <v>103618.62899999999</v>
      </c>
      <c r="O66" s="83">
        <f>'3.2 Chaneges'!O65+'3.2 Chaneges'!O68-('3.2 Chaneges'!O33-'3.2 Chaneges'!O31-'3.2 Chaneges'!O42-('3.2 Chaneges'!O48+'3.2 Chaneges'!O52-'3.2 Chaneges'!O50))</f>
        <v>85969.56199999999</v>
      </c>
      <c r="P66" s="83">
        <f>'3.2 Chaneges'!P65+'3.2 Chaneges'!P68-('3.2 Chaneges'!P33-'3.2 Chaneges'!P31-'3.2 Chaneges'!P42-('3.2 Chaneges'!P48+'3.2 Chaneges'!P52-'3.2 Chaneges'!P50))</f>
        <v>78670853.68100001</v>
      </c>
      <c r="Q66" s="83">
        <f>'3.2 Chaneges'!Q65+'3.2 Chaneges'!Q68-('3.2 Chaneges'!Q33-'3.2 Chaneges'!Q31-'3.2 Chaneges'!Q42-('3.2 Chaneges'!Q48+'3.2 Chaneges'!Q52-'3.2 Chaneges'!Q50))</f>
        <v>4095.247</v>
      </c>
      <c r="R66" s="83">
        <f>'3.2 Chaneges'!R65+'3.2 Chaneges'!R68-('3.2 Chaneges'!R33-'3.2 Chaneges'!R31-'3.2 Chaneges'!R42-('3.2 Chaneges'!R48+'3.2 Chaneges'!R52-'3.2 Chaneges'!R50))</f>
        <v>37944863.561</v>
      </c>
      <c r="S66" s="83">
        <f>'3.2 Chaneges'!S65+'3.2 Chaneges'!S68-('3.2 Chaneges'!S33-'3.2 Chaneges'!S31-'3.2 Chaneges'!S42-('3.2 Chaneges'!S48+'3.2 Chaneges'!S52-'3.2 Chaneges'!S50))</f>
        <v>88147.748</v>
      </c>
      <c r="T66" s="83">
        <f>'3.2 Chaneges'!T65+'3.2 Chaneges'!T68-('3.2 Chaneges'!T33-'3.2 Chaneges'!T31-'3.2 Chaneges'!T42-('3.2 Chaneges'!T48+'3.2 Chaneges'!T52-'3.2 Chaneges'!T50))</f>
        <v>35487297.76799999</v>
      </c>
      <c r="U66" s="83">
        <f>'3.2 Chaneges'!U65+'3.2 Chaneges'!U68-('3.2 Chaneges'!U33-'3.2 Chaneges'!U31-'3.2 Chaneges'!U42-('3.2 Chaneges'!U48+'3.2 Chaneges'!U52-'3.2 Chaneges'!U50))</f>
        <v>31384.046000000002</v>
      </c>
      <c r="V66" s="83">
        <f>'3.2 Chaneges'!V65+'3.2 Chaneges'!V68-('3.2 Chaneges'!V33-'3.2 Chaneges'!V31-'3.2 Chaneges'!V42-('3.2 Chaneges'!V48+'3.2 Chaneges'!V52-'3.2 Chaneges'!V50))</f>
        <v>34506945.015</v>
      </c>
      <c r="W66" s="83">
        <f>'3.2 Chaneges'!W65+'3.2 Chaneges'!W68-('3.2 Chaneges'!W33-'3.2 Chaneges'!W31-'3.2 Chaneges'!W42-('3.2 Chaneges'!W48+'3.2 Chaneges'!W52-'3.2 Chaneges'!W50))</f>
        <v>29897935.493</v>
      </c>
      <c r="X66" s="83">
        <f>'3.2 Chaneges'!X65+'3.2 Chaneges'!X68-('3.2 Chaneges'!X33-'3.2 Chaneges'!X31-'3.2 Chaneges'!X42-('3.2 Chaneges'!X48+'3.2 Chaneges'!X52-'3.2 Chaneges'!X50))</f>
        <v>4609009.524</v>
      </c>
      <c r="Y66" s="83">
        <f>'3.2 Chaneges'!Y65+'3.2 Chaneges'!Y68-('3.2 Chaneges'!Y33-'3.2 Chaneges'!Y31-'3.2 Chaneges'!Y42-('3.2 Chaneges'!Y48+'3.2 Chaneges'!Y52-'3.2 Chaneges'!Y50))</f>
        <v>30157124.823000003</v>
      </c>
      <c r="Z66" s="83">
        <f>'3.2 Chaneges'!Z65+'3.2 Chaneges'!Z68-('3.2 Chaneges'!Z33-'3.2 Chaneges'!Z31-'3.2 Chaneges'!Z42-('3.2 Chaneges'!Z48+'3.2 Chaneges'!Z52-'3.2 Chaneges'!Z50))</f>
        <v>90843.76899999999</v>
      </c>
      <c r="AA66" s="83">
        <f>'3.2 Chaneges'!AA65+'3.2 Chaneges'!AA68-('3.2 Chaneges'!AA33-'3.2 Chaneges'!AA31-'3.2 Chaneges'!AA42-('3.2 Chaneges'!AA48+'3.2 Chaneges'!AA52-'3.2 Chaneges'!AA50))</f>
        <v>29275463.912</v>
      </c>
      <c r="AB66" s="83">
        <f>'3.2 Chaneges'!AB65+'3.2 Chaneges'!AB68-('3.2 Chaneges'!AB33-'3.2 Chaneges'!AB31-'3.2 Chaneges'!AB42-('3.2 Chaneges'!AB48+'3.2 Chaneges'!AB52-'3.2 Chaneges'!AB50))</f>
        <v>823519.018</v>
      </c>
      <c r="AC66" s="83">
        <f>'3.2 Chaneges'!AC65+'3.2 Chaneges'!AC68-('3.2 Chaneges'!AC33-'3.2 Chaneges'!AC31-'3.2 Chaneges'!AC42-('3.2 Chaneges'!AC48+'3.2 Chaneges'!AC52-'3.2 Chaneges'!AC50))</f>
        <v>27361040.99</v>
      </c>
      <c r="AD66" s="83">
        <f>'3.2 Chaneges'!AD65+'3.2 Chaneges'!AD68-('3.2 Chaneges'!AD33-'3.2 Chaneges'!AD31-'3.2 Chaneges'!AD42-('3.2 Chaneges'!AD48+'3.2 Chaneges'!AD52-'3.2 Chaneges'!AD50))</f>
        <v>24511786.363999996</v>
      </c>
      <c r="AE66" s="83">
        <f>'3.2 Chaneges'!AE65+'3.2 Chaneges'!AE68-('3.2 Chaneges'!AE33-'3.2 Chaneges'!AE31-'3.2 Chaneges'!AE42-('3.2 Chaneges'!AE48+'3.2 Chaneges'!AE52-'3.2 Chaneges'!AE50))</f>
        <v>7011</v>
      </c>
      <c r="AF66" s="83">
        <f>'3.2 Chaneges'!AF65+'3.2 Chaneges'!AF68-('3.2 Chaneges'!AF33-'3.2 Chaneges'!AF31-'3.2 Chaneges'!AF42-('3.2 Chaneges'!AF48+'3.2 Chaneges'!AF52-'3.2 Chaneges'!AF50))</f>
        <v>23160365.402</v>
      </c>
      <c r="AG66" s="83">
        <f>'3.2 Chaneges'!AG65+'3.2 Chaneges'!AG68-('3.2 Chaneges'!AG33-'3.2 Chaneges'!AG31-'3.2 Chaneges'!AG42-('3.2 Chaneges'!AG48+'3.2 Chaneges'!AG52-'3.2 Chaneges'!AG50))</f>
        <v>22639055.987999998</v>
      </c>
      <c r="AH66" s="83">
        <f>'3.2 Chaneges'!AH65+'3.2 Chaneges'!AH68-('3.2 Chaneges'!AH33-'3.2 Chaneges'!AH31-'3.2 Chaneges'!AH42-('3.2 Chaneges'!AH48+'3.2 Chaneges'!AH52-'3.2 Chaneges'!AH50))</f>
        <v>21634699.81</v>
      </c>
      <c r="AI66" s="83">
        <f>'3.2 Chaneges'!AI65+'3.2 Chaneges'!AI68-('3.2 Chaneges'!AI33-'3.2 Chaneges'!AI31-'3.2 Chaneges'!AI42-('3.2 Chaneges'!AI48+'3.2 Chaneges'!AI52-'3.2 Chaneges'!AI50))</f>
        <v>21380743.626000002</v>
      </c>
      <c r="AJ66" s="83">
        <f>'3.2 Chaneges'!AJ65+'3.2 Chaneges'!AJ68-('3.2 Chaneges'!AJ33-'3.2 Chaneges'!AJ31-'3.2 Chaneges'!AJ42-('3.2 Chaneges'!AJ48+'3.2 Chaneges'!AJ52-'3.2 Chaneges'!AJ50))</f>
        <v>115237.963</v>
      </c>
      <c r="AK66" s="83">
        <f>'3.2 Chaneges'!AK65+'3.2 Chaneges'!AK68-('3.2 Chaneges'!AK33-'3.2 Chaneges'!AK31-'3.2 Chaneges'!AK42-('3.2 Chaneges'!AK48+'3.2 Chaneges'!AK52-'3.2 Chaneges'!AK50))</f>
        <v>19063592.025000002</v>
      </c>
      <c r="AL66" s="83">
        <f>'3.2 Chaneges'!AL65+'3.2 Chaneges'!AL68-('3.2 Chaneges'!AL33-'3.2 Chaneges'!AL31-'3.2 Chaneges'!AL42-('3.2 Chaneges'!AL48+'3.2 Chaneges'!AL52-'3.2 Chaneges'!AL50))</f>
        <v>5183.592000000001</v>
      </c>
      <c r="AM66" s="83">
        <f>'3.2 Chaneges'!AM65+'3.2 Chaneges'!AM68-('3.2 Chaneges'!AM33-'3.2 Chaneges'!AM31-'3.2 Chaneges'!AM42-('3.2 Chaneges'!AM48+'3.2 Chaneges'!AM52-'3.2 Chaneges'!AM50))</f>
        <v>16082754.452</v>
      </c>
      <c r="AN66" s="83">
        <f>'3.2 Chaneges'!AN65+'3.2 Chaneges'!AN68-('3.2 Chaneges'!AN33-'3.2 Chaneges'!AN31-'3.2 Chaneges'!AN42-('3.2 Chaneges'!AN48+'3.2 Chaneges'!AN52-'3.2 Chaneges'!AN50))</f>
        <v>15784406</v>
      </c>
      <c r="AO66" s="83">
        <f>'3.2 Chaneges'!AO65+'3.2 Chaneges'!AO68-('3.2 Chaneges'!AO33-'3.2 Chaneges'!AO31-'3.2 Chaneges'!AO42-('3.2 Chaneges'!AO48+'3.2 Chaneges'!AO52-'3.2 Chaneges'!AO50))</f>
        <v>15072129.379</v>
      </c>
      <c r="AP66" s="83">
        <f>'3.2 Chaneges'!AP65+'3.2 Chaneges'!AP68-('3.2 Chaneges'!AP33-'3.2 Chaneges'!AP31-'3.2 Chaneges'!AP42-('3.2 Chaneges'!AP48+'3.2 Chaneges'!AP52-'3.2 Chaneges'!AP50))</f>
        <v>14395162</v>
      </c>
      <c r="AQ66" s="83">
        <f>'3.2 Chaneges'!AQ65+'3.2 Chaneges'!AQ68-('3.2 Chaneges'!AQ33-'3.2 Chaneges'!AQ31-'3.2 Chaneges'!AQ42-('3.2 Chaneges'!AQ48+'3.2 Chaneges'!AQ52-'3.2 Chaneges'!AQ50))</f>
        <v>13493211.115999999</v>
      </c>
      <c r="AR66" s="83">
        <f>'3.2 Chaneges'!AR65+'3.2 Chaneges'!AR68-('3.2 Chaneges'!AR33-'3.2 Chaneges'!AR31-'3.2 Chaneges'!AR42-('3.2 Chaneges'!AR48+'3.2 Chaneges'!AR52-'3.2 Chaneges'!AR50))</f>
        <v>13990032.813999997</v>
      </c>
      <c r="AS66" s="83">
        <f>'3.2 Chaneges'!AS65+'3.2 Chaneges'!AS68-('3.2 Chaneges'!AS33-'3.2 Chaneges'!AS31-'3.2 Chaneges'!AS42-('3.2 Chaneges'!AS48+'3.2 Chaneges'!AS52-'3.2 Chaneges'!AS50))</f>
        <v>3483.3210000000004</v>
      </c>
      <c r="AT66" s="83">
        <f>'3.2 Chaneges'!AT65+'3.2 Chaneges'!AT68-('3.2 Chaneges'!AT33-'3.2 Chaneges'!AT31-'3.2 Chaneges'!AT42-('3.2 Chaneges'!AT48+'3.2 Chaneges'!AT52-'3.2 Chaneges'!AT50))</f>
        <v>12459273.501</v>
      </c>
      <c r="AU66" s="83">
        <f>'3.2 Chaneges'!AU65+'3.2 Chaneges'!AU68-('3.2 Chaneges'!AU33-'3.2 Chaneges'!AU31-'3.2 Chaneges'!AU42-('3.2 Chaneges'!AU48+'3.2 Chaneges'!AU52-'3.2 Chaneges'!AU50))</f>
        <v>2908.2810000000004</v>
      </c>
      <c r="AV66" s="83">
        <f>'3.2 Chaneges'!AV65+'3.2 Chaneges'!AV68-('3.2 Chaneges'!AV33-'3.2 Chaneges'!AV31-'3.2 Chaneges'!AV42-('3.2 Chaneges'!AV48+'3.2 Chaneges'!AV52-'3.2 Chaneges'!AV50))</f>
        <v>12111281</v>
      </c>
      <c r="AW66" s="83">
        <f>'3.2 Chaneges'!AW65+'3.2 Chaneges'!AW68-('3.2 Chaneges'!AW33-'3.2 Chaneges'!AW31-'3.2 Chaneges'!AW42-('3.2 Chaneges'!AW48+'3.2 Chaneges'!AW52-'3.2 Chaneges'!AW50))</f>
        <v>11695602</v>
      </c>
      <c r="AX66" s="83">
        <f>'3.2 Chaneges'!AX65+'3.2 Chaneges'!AX68-('3.2 Chaneges'!AX33-'3.2 Chaneges'!AX31-'3.2 Chaneges'!AX42-('3.2 Chaneges'!AX48+'3.2 Chaneges'!AX52-'3.2 Chaneges'!AX50))</f>
        <v>11888760.479</v>
      </c>
      <c r="AY66" s="83">
        <f>'3.2 Chaneges'!AY65+'3.2 Chaneges'!AY68-('3.2 Chaneges'!AY33-'3.2 Chaneges'!AY31-'3.2 Chaneges'!AY42-('3.2 Chaneges'!AY48+'3.2 Chaneges'!AY52-'3.2 Chaneges'!AY50))</f>
        <v>10629075.335</v>
      </c>
      <c r="AZ66" s="83">
        <f>'3.2 Chaneges'!AZ65+'3.2 Chaneges'!AZ68-('3.2 Chaneges'!AZ33-'3.2 Chaneges'!AZ31-'3.2 Chaneges'!AZ42-('3.2 Chaneges'!AZ48+'3.2 Chaneges'!AZ52-'3.2 Chaneges'!AZ50))</f>
        <v>9329851.275999999</v>
      </c>
      <c r="BA66" s="83">
        <f>'3.2 Chaneges'!BA65+'3.2 Chaneges'!BA68-('3.2 Chaneges'!BA33-'3.2 Chaneges'!BA31-'3.2 Chaneges'!BA42-('3.2 Chaneges'!BA48+'3.2 Chaneges'!BA52-'3.2 Chaneges'!BA50))</f>
        <v>10033924.946</v>
      </c>
      <c r="BB66" s="83">
        <f>'3.2 Chaneges'!BB65+'3.2 Chaneges'!BB68-('3.2 Chaneges'!BB33-'3.2 Chaneges'!BB31-'3.2 Chaneges'!BB42-('3.2 Chaneges'!BB48+'3.2 Chaneges'!BB52-'3.2 Chaneges'!BB50))</f>
        <v>7368628.511999999</v>
      </c>
      <c r="BC66" s="83">
        <f>'3.2 Chaneges'!BC65+'3.2 Chaneges'!BC68-('3.2 Chaneges'!BC33-'3.2 Chaneges'!BC31-'3.2 Chaneges'!BC42-('3.2 Chaneges'!BC48+'3.2 Chaneges'!BC52-'3.2 Chaneges'!BC50))</f>
        <v>7233474.035999999</v>
      </c>
      <c r="BD66" s="83">
        <f>'3.2 Chaneges'!BD65+'3.2 Chaneges'!BD68-('3.2 Chaneges'!BD33-'3.2 Chaneges'!BD31-'3.2 Chaneges'!BD42-('3.2 Chaneges'!BD48+'3.2 Chaneges'!BD52-'3.2 Chaneges'!BD50))</f>
        <v>6100824.345000001</v>
      </c>
      <c r="BE66" s="83">
        <f>'3.2 Chaneges'!BE65+'3.2 Chaneges'!BE68-('3.2 Chaneges'!BE33-'3.2 Chaneges'!BE31-'3.2 Chaneges'!BE42-('3.2 Chaneges'!BE48+'3.2 Chaneges'!BE52-'3.2 Chaneges'!BE50))</f>
        <v>1209.066</v>
      </c>
      <c r="BF66" s="83">
        <f>'3.2 Chaneges'!BF65+'3.2 Chaneges'!BF68-('3.2 Chaneges'!BF33-'3.2 Chaneges'!BF31-'3.2 Chaneges'!BF42-('3.2 Chaneges'!BF48+'3.2 Chaneges'!BF52-'3.2 Chaneges'!BF50))</f>
        <v>5848660.515</v>
      </c>
      <c r="BG66" s="83">
        <f>'3.2 Chaneges'!BG65+'3.2 Chaneges'!BG68-('3.2 Chaneges'!BG33-'3.2 Chaneges'!BG31-'3.2 Chaneges'!BG42-('3.2 Chaneges'!BG48+'3.2 Chaneges'!BG52-'3.2 Chaneges'!BG50))</f>
        <v>80906.239</v>
      </c>
      <c r="BH66" s="83">
        <f>'3.2 Chaneges'!BH65+'3.2 Chaneges'!BH68-('3.2 Chaneges'!BH33-'3.2 Chaneges'!BH31-'3.2 Chaneges'!BH42-('3.2 Chaneges'!BH48+'3.2 Chaneges'!BH52-'3.2 Chaneges'!BH50))</f>
        <v>5708404.385000001</v>
      </c>
      <c r="BI66" s="83">
        <f>'3.2 Chaneges'!BI65+'3.2 Chaneges'!BI68-('3.2 Chaneges'!BI33-'3.2 Chaneges'!BI31-'3.2 Chaneges'!BI42-('3.2 Chaneges'!BI48+'3.2 Chaneges'!BI52-'3.2 Chaneges'!BI50))</f>
        <v>62707.328</v>
      </c>
      <c r="BJ66" s="83">
        <f>'3.2 Chaneges'!BJ65+'3.2 Chaneges'!BJ68-('3.2 Chaneges'!BJ33-'3.2 Chaneges'!BJ31-'3.2 Chaneges'!BJ42-('3.2 Chaneges'!BJ48+'3.2 Chaneges'!BJ52-'3.2 Chaneges'!BJ50))</f>
        <v>5898169.5430000005</v>
      </c>
      <c r="BK66" s="83">
        <f>'3.2 Chaneges'!BK65+'3.2 Chaneges'!BK68-('3.2 Chaneges'!BK33-'3.2 Chaneges'!BK31-'3.2 Chaneges'!BK42-('3.2 Chaneges'!BK48+'3.2 Chaneges'!BK52-'3.2 Chaneges'!BK50))</f>
        <v>5360608.130999999</v>
      </c>
      <c r="BL66" s="83">
        <f>'3.2 Chaneges'!BL65+'3.2 Chaneges'!BL68-('3.2 Chaneges'!BL33-'3.2 Chaneges'!BL31-'3.2 Chaneges'!BL42-('3.2 Chaneges'!BL48+'3.2 Chaneges'!BL52-'3.2 Chaneges'!BL50))</f>
        <v>4911218.84</v>
      </c>
      <c r="BM66" s="83">
        <f>'3.2 Chaneges'!BM65+'3.2 Chaneges'!BM68-('3.2 Chaneges'!BM33-'3.2 Chaneges'!BM31-'3.2 Chaneges'!BM42-('3.2 Chaneges'!BM48+'3.2 Chaneges'!BM52-'3.2 Chaneges'!BM50))</f>
        <v>449389.291</v>
      </c>
      <c r="BN66" s="83">
        <f>'3.2 Chaneges'!BN65+'3.2 Chaneges'!BN68-('3.2 Chaneges'!BN33-'3.2 Chaneges'!BN31-'3.2 Chaneges'!BN42-('3.2 Chaneges'!BN48+'3.2 Chaneges'!BN52-'3.2 Chaneges'!BN50))</f>
        <v>4878915.093</v>
      </c>
      <c r="BO66" s="83">
        <f>'3.2 Chaneges'!BO65+'3.2 Chaneges'!BO68-('3.2 Chaneges'!BO33-'3.2 Chaneges'!BO31-'3.2 Chaneges'!BO42-('3.2 Chaneges'!BO48+'3.2 Chaneges'!BO52-'3.2 Chaneges'!BO50))</f>
        <v>3807709.361</v>
      </c>
      <c r="BP66" s="83">
        <f>'3.2 Chaneges'!BP65+'3.2 Chaneges'!BP68-('3.2 Chaneges'!BP33-'3.2 Chaneges'!BP31-'3.2 Chaneges'!BP42-('3.2 Chaneges'!BP48+'3.2 Chaneges'!BP52-'3.2 Chaneges'!BP50))</f>
        <v>3981019.715</v>
      </c>
      <c r="BQ66" s="83">
        <f>'3.2 Chaneges'!BQ65+'3.2 Chaneges'!BQ68-('3.2 Chaneges'!BQ33-'3.2 Chaneges'!BQ31-'3.2 Chaneges'!BQ42-('3.2 Chaneges'!BQ48+'3.2 Chaneges'!BQ52-'3.2 Chaneges'!BQ50))</f>
        <v>3394759.639</v>
      </c>
      <c r="BR66" s="83">
        <f>'3.2 Chaneges'!BR65+'3.2 Chaneges'!BR68-('3.2 Chaneges'!BR33-'3.2 Chaneges'!BR31-'3.2 Chaneges'!BR42-('3.2 Chaneges'!BR48+'3.2 Chaneges'!BR52-'3.2 Chaneges'!BR50))</f>
        <v>2122428.238</v>
      </c>
      <c r="BS66" s="83">
        <f>'3.2 Chaneges'!BS65+'3.2 Chaneges'!BS68-('3.2 Chaneges'!BS33-'3.2 Chaneges'!BS31-'3.2 Chaneges'!BS42-('3.2 Chaneges'!BS48+'3.2 Chaneges'!BS52-'3.2 Chaneges'!BS50))</f>
        <v>1848463.3590000002</v>
      </c>
      <c r="BT66" s="83">
        <f>'3.2 Chaneges'!BT65+'3.2 Chaneges'!BT68-('3.2 Chaneges'!BT33-'3.2 Chaneges'!BT31-'3.2 Chaneges'!BT42-('3.2 Chaneges'!BT48+'3.2 Chaneges'!BT52-'3.2 Chaneges'!BT50))</f>
        <v>246585.726</v>
      </c>
      <c r="BU66" s="83">
        <f>'3.2 Chaneges'!BU65+'3.2 Chaneges'!BU68-('3.2 Chaneges'!BU33-'3.2 Chaneges'!BU31-'3.2 Chaneges'!BU42-('3.2 Chaneges'!BU48+'3.2 Chaneges'!BU52-'3.2 Chaneges'!BU50))</f>
        <v>27379.152999999995</v>
      </c>
      <c r="BV66" s="83">
        <f>'3.2 Chaneges'!BV65+'3.2 Chaneges'!BV68-('3.2 Chaneges'!BV33-'3.2 Chaneges'!BV31-'3.2 Chaneges'!BV42-('3.2 Chaneges'!BV48+'3.2 Chaneges'!BV52-'3.2 Chaneges'!BV50))</f>
        <v>2980775.914</v>
      </c>
      <c r="BW66" s="83">
        <f>'3.2 Chaneges'!BW65+'3.2 Chaneges'!BW68-('3.2 Chaneges'!BW33-'3.2 Chaneges'!BW31-'3.2 Chaneges'!BW42-('3.2 Chaneges'!BW48+'3.2 Chaneges'!BW52-'3.2 Chaneges'!BW50))</f>
        <v>2522661.7509999997</v>
      </c>
      <c r="BX66" s="83">
        <f>'3.2 Chaneges'!BX65+'3.2 Chaneges'!BX68-('3.2 Chaneges'!BX33-'3.2 Chaneges'!BX31-'3.2 Chaneges'!BX42-('3.2 Chaneges'!BX48+'3.2 Chaneges'!BX52-'3.2 Chaneges'!BX50))</f>
        <v>2404622.797</v>
      </c>
      <c r="BY66" s="83">
        <f>'3.2 Chaneges'!BY65+'3.2 Chaneges'!BY68-('3.2 Chaneges'!BY33-'3.2 Chaneges'!BY31-'3.2 Chaneges'!BY42-('3.2 Chaneges'!BY48+'3.2 Chaneges'!BY52-'3.2 Chaneges'!BY50))</f>
        <v>2322809.2260000003</v>
      </c>
      <c r="BZ66" s="83">
        <f>'3.2 Chaneges'!BZ65+'3.2 Chaneges'!BZ68-('3.2 Chaneges'!BZ33-'3.2 Chaneges'!BZ31-'3.2 Chaneges'!BZ42-('3.2 Chaneges'!BZ48+'3.2 Chaneges'!BZ52-'3.2 Chaneges'!BZ50))</f>
        <v>2347491.885</v>
      </c>
      <c r="CA66" s="83">
        <f>'3.2 Chaneges'!CA65+'3.2 Chaneges'!CA68-('3.2 Chaneges'!CA33-'3.2 Chaneges'!CA31-'3.2 Chaneges'!CA42-('3.2 Chaneges'!CA48+'3.2 Chaneges'!CA52-'3.2 Chaneges'!CA50))</f>
        <v>169827.25300000008</v>
      </c>
      <c r="CB66" s="83">
        <f>'3.2 Chaneges'!CB65+'3.2 Chaneges'!CB68-('3.2 Chaneges'!CB33-'3.2 Chaneges'!CB31-'3.2 Chaneges'!CB42-('3.2 Chaneges'!CB48+'3.2 Chaneges'!CB52-'3.2 Chaneges'!CB50))</f>
        <v>2177664.6319999998</v>
      </c>
      <c r="CC66" s="83">
        <f>'3.2 Chaneges'!CC65+'3.2 Chaneges'!CC68-('3.2 Chaneges'!CC33-'3.2 Chaneges'!CC31-'3.2 Chaneges'!CC42-('3.2 Chaneges'!CC48+'3.2 Chaneges'!CC52-'3.2 Chaneges'!CC50))</f>
        <v>2263801.989</v>
      </c>
      <c r="CD66" s="83">
        <f>'3.2 Chaneges'!CD65+'3.2 Chaneges'!CD68-('3.2 Chaneges'!CD33-'3.2 Chaneges'!CD31-'3.2 Chaneges'!CD42-('3.2 Chaneges'!CD48+'3.2 Chaneges'!CD52-'3.2 Chaneges'!CD50))</f>
        <v>2191068.646</v>
      </c>
      <c r="CE66" s="83">
        <f>'3.2 Chaneges'!CE65+'3.2 Chaneges'!CE68-('3.2 Chaneges'!CE33-'3.2 Chaneges'!CE31-'3.2 Chaneges'!CE42-('3.2 Chaneges'!CE48+'3.2 Chaneges'!CE52-'3.2 Chaneges'!CE50))</f>
        <v>2207765.7939999998</v>
      </c>
      <c r="CF66" s="83">
        <f>'3.2 Chaneges'!CF65+'3.2 Chaneges'!CF68-('3.2 Chaneges'!CF33-'3.2 Chaneges'!CF31-'3.2 Chaneges'!CF42-('3.2 Chaneges'!CF48+'3.2 Chaneges'!CF52-'3.2 Chaneges'!CF50))</f>
        <v>1968498.859</v>
      </c>
      <c r="CG66" s="83">
        <f>'3.2 Chaneges'!CG65+'3.2 Chaneges'!CG68-('3.2 Chaneges'!CG33-'3.2 Chaneges'!CG31-'3.2 Chaneges'!CG42-('3.2 Chaneges'!CG48+'3.2 Chaneges'!CG52-'3.2 Chaneges'!CG50))</f>
        <v>1407530.3699999999</v>
      </c>
      <c r="CH66" s="83">
        <f>'3.2 Chaneges'!CH65+'3.2 Chaneges'!CH68-('3.2 Chaneges'!CH33-'3.2 Chaneges'!CH31-'3.2 Chaneges'!CH42-('3.2 Chaneges'!CH48+'3.2 Chaneges'!CH52-'3.2 Chaneges'!CH50))</f>
        <v>1285565.66</v>
      </c>
      <c r="CI66" s="83">
        <f>'3.2 Chaneges'!CI65+'3.2 Chaneges'!CI68-('3.2 Chaneges'!CI33-'3.2 Chaneges'!CI31-'3.2 Chaneges'!CI42-('3.2 Chaneges'!CI48+'3.2 Chaneges'!CI52-'3.2 Chaneges'!CI50))</f>
        <v>1112920.007</v>
      </c>
      <c r="CJ66" s="83">
        <f>'3.2 Chaneges'!CJ65+'3.2 Chaneges'!CJ68-('3.2 Chaneges'!CJ33-'3.2 Chaneges'!CJ31-'3.2 Chaneges'!CJ42-('3.2 Chaneges'!CJ48+'3.2 Chaneges'!CJ52-'3.2 Chaneges'!CJ50))</f>
        <v>898660.936</v>
      </c>
      <c r="CK66" s="83">
        <f>'3.2 Chaneges'!CK65+'3.2 Chaneges'!CK68-('3.2 Chaneges'!CK33-'3.2 Chaneges'!CK31-'3.2 Chaneges'!CK42-('3.2 Chaneges'!CK48+'3.2 Chaneges'!CK52-'3.2 Chaneges'!CK50))</f>
        <v>889189.4800000001</v>
      </c>
      <c r="CL66" s="83">
        <f>'3.2 Chaneges'!CL65+'3.2 Chaneges'!CL68-('3.2 Chaneges'!CL33-'3.2 Chaneges'!CL31-'3.2 Chaneges'!CL42-('3.2 Chaneges'!CL48+'3.2 Chaneges'!CL52-'3.2 Chaneges'!CL50))</f>
        <v>776101.4360000001</v>
      </c>
      <c r="CM66" s="83">
        <f>'3.2 Chaneges'!CM65+'3.2 Chaneges'!CM68-('3.2 Chaneges'!CM33-'3.2 Chaneges'!CM31-'3.2 Chaneges'!CM42-('3.2 Chaneges'!CM48+'3.2 Chaneges'!CM52-'3.2 Chaneges'!CM50))</f>
        <v>539224.3</v>
      </c>
      <c r="CN66" s="83">
        <f>'3.2 Chaneges'!CN65+'3.2 Chaneges'!CN68-('3.2 Chaneges'!CN33-'3.2 Chaneges'!CN31-'3.2 Chaneges'!CN42-('3.2 Chaneges'!CN48+'3.2 Chaneges'!CN52-'3.2 Chaneges'!CN50))</f>
        <v>322427.05299999996</v>
      </c>
      <c r="CO66" s="83">
        <f>'3.2 Chaneges'!CO65+'3.2 Chaneges'!CO68-('3.2 Chaneges'!CO33-'3.2 Chaneges'!CO31-'3.2 Chaneges'!CO42-('3.2 Chaneges'!CO48+'3.2 Chaneges'!CO52-'3.2 Chaneges'!CO50))</f>
        <v>236482.39499999993</v>
      </c>
      <c r="CP66" s="83">
        <f>'3.2 Chaneges'!CP65+'3.2 Chaneges'!CP68-('3.2 Chaneges'!CP33-'3.2 Chaneges'!CP31-'3.2 Chaneges'!CP42-('3.2 Chaneges'!CP48+'3.2 Chaneges'!CP52-'3.2 Chaneges'!CP50))</f>
        <v>182256.962</v>
      </c>
      <c r="CQ66" s="83">
        <f>'3.2 Chaneges'!CQ65+'3.2 Chaneges'!CQ68-('3.2 Chaneges'!CQ33-'3.2 Chaneges'!CQ31-'3.2 Chaneges'!CQ42-('3.2 Chaneges'!CQ48+'3.2 Chaneges'!CQ52-'3.2 Chaneges'!CQ50))</f>
        <v>151272.909</v>
      </c>
      <c r="CR66" s="83">
        <f>'3.2 Chaneges'!CR65+'3.2 Chaneges'!CR68-('3.2 Chaneges'!CR33-'3.2 Chaneges'!CR31-'3.2 Chaneges'!CR42-('3.2 Chaneges'!CR48+'3.2 Chaneges'!CR52-'3.2 Chaneges'!CR50))</f>
        <v>159113.992</v>
      </c>
      <c r="CS66" s="83">
        <f>'3.2 Chaneges'!CS65+'3.2 Chaneges'!CS68-('3.2 Chaneges'!CS33-'3.2 Chaneges'!CS31-'3.2 Chaneges'!CS42-('3.2 Chaneges'!CS48+'3.2 Chaneges'!CS52-'3.2 Chaneges'!CS50))</f>
        <v>19012.37</v>
      </c>
      <c r="CT66" s="83"/>
      <c r="CU66" s="83"/>
      <c r="CV66" s="33">
        <f>+B66+D66+J66+L66+P66+R66+T66+V66+Y66+AA66+AC66+AD66+AF66+AG66+AH66+AI66+AK66+AM66+AO66+AQ66+AR66+AT66+AV66+AX66+AY66+BA66+BB66+BD66+BF66+BH66+BJ66+BK66+BN66+BO66+BP66+BQ66+BR66+BV66+BW66+BX66+BZ66+CC66+CD66+CF66+CG66+CH66+CI66+CJ66+CK66+CL66+CM66+CN66+CO66+CP66+CR66+CS66</f>
        <v>1064928545.6859999</v>
      </c>
      <c r="CW66" s="33"/>
      <c r="CX66" s="33">
        <f>+D66+AQ66+BJ66+BN66+BR66+BW66+BZ66+CF66+CG66+CJ66+CM66+CN66+CO66+CR66</f>
        <v>170183157.893</v>
      </c>
      <c r="CY66" s="33">
        <f>+B66+J66+L66+P66+R66+T66+V66+Y66+AA66+AC66+AD66+AF66+AG66+AH66+AI66+AK66+AM66+AO66+AR66+AT66+AV66+AX66+AY66+BA66+BB66+BD66+BF66+BH66+BK66+BO66+BP66+BQ66+BV66+BX66+CC66+CD66+CH66+CI66+CK66+CL66+CP66+CS66</f>
        <v>894745387.7929999</v>
      </c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</row>
    <row r="67" spans="1:137" ht="12.75">
      <c r="A67" s="17" t="s">
        <v>301</v>
      </c>
      <c r="B67" s="88">
        <f aca="true" t="shared" si="3" ref="B67:AG67">B63/B66</f>
        <v>0.052999689184858256</v>
      </c>
      <c r="C67" s="88">
        <f t="shared" si="3"/>
        <v>0.04711919325527478</v>
      </c>
      <c r="D67" s="88">
        <f t="shared" si="3"/>
        <v>0.057057384965061096</v>
      </c>
      <c r="E67" s="88">
        <f t="shared" si="3"/>
        <v>0.06435050632914775</v>
      </c>
      <c r="F67" s="88">
        <f t="shared" si="3"/>
        <v>0.022643174339238906</v>
      </c>
      <c r="G67" s="88">
        <f t="shared" si="3"/>
        <v>0.07168349504115927</v>
      </c>
      <c r="H67" s="88">
        <f t="shared" si="3"/>
        <v>0.06456660060498592</v>
      </c>
      <c r="I67" s="88">
        <f t="shared" si="3"/>
        <v>-0.11714066323638112</v>
      </c>
      <c r="J67" s="88">
        <f t="shared" si="3"/>
        <v>0.035471695047452234</v>
      </c>
      <c r="K67" s="88">
        <f t="shared" si="3"/>
        <v>0.10136413136328969</v>
      </c>
      <c r="L67" s="88">
        <f t="shared" si="3"/>
        <v>0.03268926799783793</v>
      </c>
      <c r="M67" s="88">
        <f t="shared" si="3"/>
        <v>0.03270242919676073</v>
      </c>
      <c r="N67" s="88">
        <f t="shared" si="3"/>
        <v>0.062056061367111906</v>
      </c>
      <c r="O67" s="88">
        <f t="shared" si="3"/>
        <v>-0.014973159919088578</v>
      </c>
      <c r="P67" s="88">
        <f t="shared" si="3"/>
        <v>0.036351575382620765</v>
      </c>
      <c r="Q67" s="88">
        <f t="shared" si="3"/>
        <v>0.0606117286698458</v>
      </c>
      <c r="R67" s="88">
        <f t="shared" si="3"/>
        <v>0.015412971008837836</v>
      </c>
      <c r="S67" s="88">
        <f t="shared" si="3"/>
        <v>0.018166272381683533</v>
      </c>
      <c r="T67" s="88">
        <f t="shared" si="3"/>
        <v>0.05778704096904177</v>
      </c>
      <c r="U67" s="88">
        <f t="shared" si="3"/>
        <v>-0.01748945945337959</v>
      </c>
      <c r="V67" s="88">
        <f t="shared" si="3"/>
        <v>0.014178125817493496</v>
      </c>
      <c r="W67" s="88">
        <f t="shared" si="3"/>
        <v>0.013468404936999035</v>
      </c>
      <c r="X67" s="88">
        <f t="shared" si="3"/>
        <v>0.01878197594282081</v>
      </c>
      <c r="Y67" s="88">
        <f t="shared" si="3"/>
        <v>0.04404102936852442</v>
      </c>
      <c r="Z67" s="88">
        <f t="shared" si="3"/>
        <v>0.0067516353267993556</v>
      </c>
      <c r="AA67" s="88">
        <f t="shared" si="3"/>
        <v>0.06131879246716819</v>
      </c>
      <c r="AB67" s="88">
        <f t="shared" si="3"/>
        <v>0.06723274240158471</v>
      </c>
      <c r="AC67" s="88">
        <f t="shared" si="3"/>
        <v>-0.002739115080723395</v>
      </c>
      <c r="AD67" s="88">
        <f t="shared" si="3"/>
        <v>-0.009397413251704376</v>
      </c>
      <c r="AE67" s="88">
        <f t="shared" si="3"/>
        <v>-0.019398088717729283</v>
      </c>
      <c r="AF67" s="88">
        <f t="shared" si="3"/>
        <v>-0.003397528434210496</v>
      </c>
      <c r="AG67" s="88">
        <f t="shared" si="3"/>
        <v>0.022878211100080256</v>
      </c>
      <c r="AH67" s="88">
        <f aca="true" t="shared" si="4" ref="AH67:BM67">AH63/AH66</f>
        <v>0.0032279231333600814</v>
      </c>
      <c r="AI67" s="88">
        <f t="shared" si="4"/>
        <v>-0.04015757230052106</v>
      </c>
      <c r="AJ67" s="88">
        <f t="shared" si="4"/>
        <v>0.01870706444194957</v>
      </c>
      <c r="AK67" s="88">
        <f t="shared" si="4"/>
        <v>0.04585330439581728</v>
      </c>
      <c r="AL67" s="88">
        <f t="shared" si="4"/>
        <v>0.08339468075419515</v>
      </c>
      <c r="AM67" s="88">
        <f t="shared" si="4"/>
        <v>0.030336100912075288</v>
      </c>
      <c r="AN67" s="88">
        <f t="shared" si="4"/>
        <v>-0.009492153204878282</v>
      </c>
      <c r="AO67" s="88">
        <f t="shared" si="4"/>
        <v>0.006506581355162608</v>
      </c>
      <c r="AP67" s="88">
        <f t="shared" si="4"/>
        <v>-0.032700986623144634</v>
      </c>
      <c r="AQ67" s="88">
        <f t="shared" si="4"/>
        <v>0.04911289701931616</v>
      </c>
      <c r="AR67" s="88">
        <f t="shared" si="4"/>
        <v>0.014195516096378476</v>
      </c>
      <c r="AS67" s="88">
        <f t="shared" si="4"/>
        <v>0.01640101500837849</v>
      </c>
      <c r="AT67" s="88">
        <f t="shared" si="4"/>
        <v>0.07505635235673602</v>
      </c>
      <c r="AU67" s="88">
        <f t="shared" si="4"/>
        <v>0.026117146176727758</v>
      </c>
      <c r="AV67" s="88">
        <f t="shared" si="4"/>
        <v>-0.03525853293305638</v>
      </c>
      <c r="AW67" s="88">
        <f t="shared" si="4"/>
        <v>-0.029514513233264948</v>
      </c>
      <c r="AX67" s="88">
        <f t="shared" si="4"/>
        <v>0.027073059850817444</v>
      </c>
      <c r="AY67" s="88">
        <f t="shared" si="4"/>
        <v>0.004650749989251064</v>
      </c>
      <c r="AZ67" s="88">
        <f t="shared" si="4"/>
        <v>-0.03487389116662272</v>
      </c>
      <c r="BA67" s="88">
        <f t="shared" si="4"/>
        <v>0.022782966907793332</v>
      </c>
      <c r="BB67" s="88">
        <f t="shared" si="4"/>
        <v>-0.006097583278466132</v>
      </c>
      <c r="BC67" s="88">
        <f t="shared" si="4"/>
        <v>-0.006789245355079337</v>
      </c>
      <c r="BD67" s="88">
        <f t="shared" si="4"/>
        <v>0.07235433591228889</v>
      </c>
      <c r="BE67" s="88">
        <f t="shared" si="4"/>
        <v>0.11232141173434701</v>
      </c>
      <c r="BF67" s="88">
        <f t="shared" si="4"/>
        <v>0.0819992319215676</v>
      </c>
      <c r="BG67" s="88">
        <f t="shared" si="4"/>
        <v>0.07121858673964564</v>
      </c>
      <c r="BH67" s="88">
        <f t="shared" si="4"/>
        <v>0.08257424250437014</v>
      </c>
      <c r="BI67" s="88">
        <f t="shared" si="4"/>
        <v>0.08520599059810043</v>
      </c>
      <c r="BJ67" s="88">
        <f t="shared" si="4"/>
        <v>0.03845274408382667</v>
      </c>
      <c r="BK67" s="88">
        <f t="shared" si="4"/>
        <v>-0.03887042792682731</v>
      </c>
      <c r="BL67" s="88">
        <f t="shared" si="4"/>
        <v>-0.04649121886818628</v>
      </c>
      <c r="BM67" s="88">
        <f t="shared" si="4"/>
        <v>0.04441453857430705</v>
      </c>
      <c r="BN67" s="88">
        <f aca="true" t="shared" si="5" ref="BN67:CS67">BN63/BN66</f>
        <v>0.010571835954678293</v>
      </c>
      <c r="BO67" s="88">
        <f t="shared" si="5"/>
        <v>0.06695353973472556</v>
      </c>
      <c r="BP67" s="88">
        <f t="shared" si="5"/>
        <v>-0.017324035784133263</v>
      </c>
      <c r="BQ67" s="88">
        <f t="shared" si="5"/>
        <v>0.07442208959289445</v>
      </c>
      <c r="BR67" s="88">
        <f t="shared" si="5"/>
        <v>-0.05966958869683114</v>
      </c>
      <c r="BS67" s="88">
        <f t="shared" si="5"/>
        <v>-0.05955780268187613</v>
      </c>
      <c r="BT67" s="88">
        <f t="shared" si="5"/>
        <v>-0.06068179307345633</v>
      </c>
      <c r="BU67" s="88">
        <f t="shared" si="5"/>
        <v>-0.05810033641289051</v>
      </c>
      <c r="BV67" s="88">
        <f t="shared" si="5"/>
        <v>-0.02281571643161097</v>
      </c>
      <c r="BW67" s="88">
        <f t="shared" si="5"/>
        <v>0.06456512924708788</v>
      </c>
      <c r="BX67" s="88">
        <f t="shared" si="5"/>
        <v>-0.049785740262197134</v>
      </c>
      <c r="BY67" s="88">
        <f t="shared" si="5"/>
        <v>-0.04949499111383329</v>
      </c>
      <c r="BZ67" s="88">
        <f t="shared" si="5"/>
        <v>0.04143018113138228</v>
      </c>
      <c r="CA67" s="88">
        <f t="shared" si="5"/>
        <v>-0.06633282821809505</v>
      </c>
      <c r="CB67" s="88">
        <f t="shared" si="5"/>
        <v>0.04983418218090434</v>
      </c>
      <c r="CC67" s="88">
        <f t="shared" si="5"/>
        <v>0.0711326471053825</v>
      </c>
      <c r="CD67" s="88">
        <f t="shared" si="5"/>
        <v>-0.04681596087245547</v>
      </c>
      <c r="CE67" s="88">
        <f t="shared" si="5"/>
        <v>-0.0854898162264036</v>
      </c>
      <c r="CF67" s="88">
        <f t="shared" si="5"/>
        <v>0.07614295294849341</v>
      </c>
      <c r="CG67" s="88">
        <f t="shared" si="5"/>
        <v>0.10154103175763096</v>
      </c>
      <c r="CH67" s="88">
        <f t="shared" si="5"/>
        <v>0.024038857727422498</v>
      </c>
      <c r="CI67" s="88">
        <f t="shared" si="5"/>
        <v>0.07549847920022162</v>
      </c>
      <c r="CJ67" s="88">
        <f t="shared" si="5"/>
        <v>0.03799329939940776</v>
      </c>
      <c r="CK67" s="88">
        <f t="shared" si="5"/>
        <v>0.0421621182472829</v>
      </c>
      <c r="CL67" s="88">
        <f t="shared" si="5"/>
        <v>0.11979218654608959</v>
      </c>
      <c r="CM67" s="88">
        <f t="shared" si="5"/>
        <v>0.07158806455866323</v>
      </c>
      <c r="CN67" s="88">
        <f t="shared" si="5"/>
        <v>0.038066098628516766</v>
      </c>
      <c r="CO67" s="88">
        <f t="shared" si="5"/>
        <v>0.06204233511758879</v>
      </c>
      <c r="CP67" s="88">
        <f t="shared" si="5"/>
        <v>0.09267648168084792</v>
      </c>
      <c r="CQ67" s="88">
        <f t="shared" si="5"/>
        <v>0.09092856143858515</v>
      </c>
      <c r="CR67" s="88">
        <f t="shared" si="5"/>
        <v>0.07234942606430238</v>
      </c>
      <c r="CS67" s="88">
        <f t="shared" si="5"/>
        <v>0.011714794105101045</v>
      </c>
      <c r="CT67" s="88"/>
      <c r="CU67" s="88"/>
      <c r="CV67" s="88">
        <f>CV63/CV66</f>
        <v>0.0341046596498211</v>
      </c>
      <c r="CW67" s="88"/>
      <c r="CX67" s="88">
        <f>CX63/CX66</f>
        <v>0.05340928595128546</v>
      </c>
      <c r="CY67" s="88">
        <f>CY63/CY66</f>
        <v>0.030432863951570997</v>
      </c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</row>
    <row r="68" spans="1:137" ht="12.75">
      <c r="A68" s="23" t="s">
        <v>338</v>
      </c>
      <c r="B68" s="89">
        <v>0.0418</v>
      </c>
      <c r="C68" s="89">
        <v>0.0418</v>
      </c>
      <c r="D68" s="89">
        <v>0.0418</v>
      </c>
      <c r="E68" s="89">
        <v>0.0418</v>
      </c>
      <c r="F68" s="89">
        <v>0.0418</v>
      </c>
      <c r="G68" s="89">
        <v>0.0418</v>
      </c>
      <c r="H68" s="89">
        <v>0.0418</v>
      </c>
      <c r="I68" s="89">
        <v>0.0418</v>
      </c>
      <c r="J68" s="89">
        <v>0.0418</v>
      </c>
      <c r="K68" s="89">
        <v>0.0418</v>
      </c>
      <c r="L68" s="89">
        <v>0.0418</v>
      </c>
      <c r="M68" s="89">
        <v>0.0418</v>
      </c>
      <c r="N68" s="89">
        <v>0.0418</v>
      </c>
      <c r="O68" s="89">
        <v>0.0418</v>
      </c>
      <c r="P68" s="89">
        <v>0.0418</v>
      </c>
      <c r="Q68" s="89">
        <v>0.0418</v>
      </c>
      <c r="R68" s="89">
        <v>0.0418</v>
      </c>
      <c r="S68" s="89">
        <v>0.0418</v>
      </c>
      <c r="T68" s="89">
        <v>0.0418</v>
      </c>
      <c r="U68" s="89">
        <v>0.0418</v>
      </c>
      <c r="V68" s="89">
        <v>0.0418</v>
      </c>
      <c r="W68" s="89">
        <v>0.0418</v>
      </c>
      <c r="X68" s="89">
        <v>0.0418</v>
      </c>
      <c r="Y68" s="89">
        <v>0.0418</v>
      </c>
      <c r="Z68" s="89">
        <v>0.0418</v>
      </c>
      <c r="AA68" s="89">
        <v>0.0418</v>
      </c>
      <c r="AB68" s="89">
        <v>0.0418</v>
      </c>
      <c r="AC68" s="89">
        <v>0.0418</v>
      </c>
      <c r="AD68" s="89">
        <v>0.0418</v>
      </c>
      <c r="AE68" s="89">
        <v>0.0418</v>
      </c>
      <c r="AF68" s="89">
        <v>0.0418</v>
      </c>
      <c r="AG68" s="89">
        <v>0.0418</v>
      </c>
      <c r="AH68" s="89">
        <v>0.0418</v>
      </c>
      <c r="AI68" s="89">
        <v>0.0418</v>
      </c>
      <c r="AJ68" s="89">
        <v>0.0418</v>
      </c>
      <c r="AK68" s="89">
        <v>0.0418</v>
      </c>
      <c r="AL68" s="89">
        <v>0.0418</v>
      </c>
      <c r="AM68" s="89">
        <v>0.0418</v>
      </c>
      <c r="AN68" s="89">
        <v>0.0418</v>
      </c>
      <c r="AO68" s="89">
        <v>0.0418</v>
      </c>
      <c r="AP68" s="89">
        <v>0.0418</v>
      </c>
      <c r="AQ68" s="89">
        <v>0.0418</v>
      </c>
      <c r="AR68" s="89">
        <v>0.0418</v>
      </c>
      <c r="AS68" s="89">
        <v>0.0418</v>
      </c>
      <c r="AT68" s="89">
        <v>0.0418</v>
      </c>
      <c r="AU68" s="89">
        <v>0.0418</v>
      </c>
      <c r="AV68" s="89">
        <v>0.0418</v>
      </c>
      <c r="AW68" s="89">
        <v>0.0418</v>
      </c>
      <c r="AX68" s="89">
        <v>0.0418</v>
      </c>
      <c r="AY68" s="89">
        <v>0.0418</v>
      </c>
      <c r="AZ68" s="89">
        <v>0.0418</v>
      </c>
      <c r="BA68" s="89">
        <v>0.0418</v>
      </c>
      <c r="BB68" s="89">
        <v>0.0418</v>
      </c>
      <c r="BC68" s="89">
        <v>0.0418</v>
      </c>
      <c r="BD68" s="89">
        <v>0.0418</v>
      </c>
      <c r="BE68" s="89">
        <v>0.0418</v>
      </c>
      <c r="BF68" s="89">
        <v>0.0418</v>
      </c>
      <c r="BG68" s="89">
        <v>0.0418</v>
      </c>
      <c r="BH68" s="89">
        <v>0.0418</v>
      </c>
      <c r="BI68" s="89">
        <v>0.0418</v>
      </c>
      <c r="BJ68" s="89">
        <v>0.0418</v>
      </c>
      <c r="BK68" s="89">
        <v>0.0418</v>
      </c>
      <c r="BL68" s="89">
        <v>0.0418</v>
      </c>
      <c r="BM68" s="89">
        <v>0.0418</v>
      </c>
      <c r="BN68" s="89">
        <v>0.0418</v>
      </c>
      <c r="BO68" s="89">
        <v>0.0418</v>
      </c>
      <c r="BP68" s="89">
        <v>0.0418</v>
      </c>
      <c r="BQ68" s="89">
        <v>0.0418</v>
      </c>
      <c r="BR68" s="89">
        <v>0.0418</v>
      </c>
      <c r="BS68" s="89">
        <v>0.0418</v>
      </c>
      <c r="BT68" s="89">
        <v>0.0418</v>
      </c>
      <c r="BU68" s="89">
        <v>0.0418</v>
      </c>
      <c r="BV68" s="89">
        <v>0.0418</v>
      </c>
      <c r="BW68" s="89">
        <v>0.0418</v>
      </c>
      <c r="BX68" s="89">
        <v>0.0418</v>
      </c>
      <c r="BY68" s="89">
        <v>0.0418</v>
      </c>
      <c r="BZ68" s="89">
        <v>0.0418</v>
      </c>
      <c r="CA68" s="89">
        <v>0.0418</v>
      </c>
      <c r="CB68" s="89">
        <v>0.0418</v>
      </c>
      <c r="CC68" s="89">
        <v>0.0418</v>
      </c>
      <c r="CD68" s="89">
        <v>0.0418</v>
      </c>
      <c r="CE68" s="89">
        <v>0.0418</v>
      </c>
      <c r="CF68" s="89">
        <v>0.0418</v>
      </c>
      <c r="CG68" s="89">
        <v>0.0418</v>
      </c>
      <c r="CH68" s="89">
        <v>0.0418</v>
      </c>
      <c r="CI68" s="89">
        <v>0.0418</v>
      </c>
      <c r="CJ68" s="89">
        <v>0.0418</v>
      </c>
      <c r="CK68" s="89">
        <v>0.0418</v>
      </c>
      <c r="CL68" s="89">
        <v>0.0418</v>
      </c>
      <c r="CM68" s="89">
        <v>0.0418</v>
      </c>
      <c r="CN68" s="89">
        <v>0.0418</v>
      </c>
      <c r="CO68" s="89">
        <v>0.0418</v>
      </c>
      <c r="CP68" s="89">
        <v>0.0418</v>
      </c>
      <c r="CQ68" s="89">
        <v>0.0418</v>
      </c>
      <c r="CR68" s="89">
        <v>0.0418</v>
      </c>
      <c r="CS68" s="89">
        <v>0.0418</v>
      </c>
      <c r="CT68" s="89"/>
      <c r="CU68" s="89"/>
      <c r="CV68" s="89">
        <v>0.0418</v>
      </c>
      <c r="CW68" s="89"/>
      <c r="CX68" s="89">
        <v>0.0418</v>
      </c>
      <c r="CY68" s="89">
        <v>0.0418</v>
      </c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</row>
    <row r="69" spans="1:137" ht="12.75">
      <c r="A69" s="24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90"/>
      <c r="CQ69" s="90"/>
      <c r="CR69" s="90"/>
      <c r="CS69" s="90"/>
      <c r="CT69" s="90"/>
      <c r="CU69" s="90"/>
      <c r="CV69" s="33"/>
      <c r="CW69" s="96"/>
      <c r="CX69" s="33"/>
      <c r="CY69" s="33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</row>
    <row r="70" spans="1:137" ht="12.75">
      <c r="A70" s="23" t="s">
        <v>138</v>
      </c>
      <c r="B70" s="88">
        <f aca="true" t="shared" si="6" ref="B70:I70">(1+B67)/(1+B68)-1</f>
        <v>0.010750325575790143</v>
      </c>
      <c r="C70" s="88">
        <f t="shared" si="6"/>
        <v>0.005105771986249508</v>
      </c>
      <c r="D70" s="88">
        <f t="shared" si="6"/>
        <v>0.014645214978941334</v>
      </c>
      <c r="E70" s="88">
        <f t="shared" si="6"/>
        <v>0.02164571542440763</v>
      </c>
      <c r="F70" s="88">
        <f t="shared" si="6"/>
        <v>-0.018388198944865652</v>
      </c>
      <c r="G70" s="88">
        <f t="shared" si="6"/>
        <v>0.028684483625608825</v>
      </c>
      <c r="H70" s="88">
        <f t="shared" si="6"/>
        <v>0.02185313937894584</v>
      </c>
      <c r="I70" s="88">
        <f t="shared" si="6"/>
        <v>-0.15256350857782797</v>
      </c>
      <c r="J70" s="88">
        <f aca="true" t="shared" si="7" ref="J70:BE70">(1+J67)/(1+J68)-1</f>
        <v>-0.006074395231856156</v>
      </c>
      <c r="K70" s="88">
        <f t="shared" si="7"/>
        <v>0.05717424780503899</v>
      </c>
      <c r="L70" s="88">
        <f t="shared" si="7"/>
        <v>-0.008745183338608298</v>
      </c>
      <c r="M70" s="88">
        <f t="shared" si="7"/>
        <v>-0.008732550204683442</v>
      </c>
      <c r="N70" s="88">
        <f t="shared" si="7"/>
        <v>0.019443330166166062</v>
      </c>
      <c r="O70" s="88">
        <f t="shared" si="7"/>
        <v>-0.05449525812928446</v>
      </c>
      <c r="P70" s="88">
        <f t="shared" si="7"/>
        <v>-0.005229818215952586</v>
      </c>
      <c r="Q70" s="88">
        <f t="shared" si="7"/>
        <v>0.018056948233677872</v>
      </c>
      <c r="R70" s="88">
        <f t="shared" si="7"/>
        <v>-0.02532830580837231</v>
      </c>
      <c r="S70" s="88">
        <f t="shared" si="7"/>
        <v>-0.022685474772812908</v>
      </c>
      <c r="T70" s="88">
        <f t="shared" si="7"/>
        <v>0.015345595094107933</v>
      </c>
      <c r="U70" s="88">
        <f t="shared" si="7"/>
        <v>-0.056910596518889967</v>
      </c>
      <c r="V70" s="88">
        <f t="shared" si="7"/>
        <v>-0.026513605473705626</v>
      </c>
      <c r="W70" s="88">
        <f t="shared" si="7"/>
        <v>-0.027194850319639974</v>
      </c>
      <c r="X70" s="88">
        <f t="shared" si="7"/>
        <v>-0.02209447500209194</v>
      </c>
      <c r="Y70" s="88">
        <f t="shared" si="7"/>
        <v>0.0021511128513385103</v>
      </c>
      <c r="Z70" s="88">
        <f t="shared" si="7"/>
        <v>-0.03364212389441423</v>
      </c>
      <c r="AA70" s="88">
        <f t="shared" si="7"/>
        <v>0.01873564260622773</v>
      </c>
      <c r="AB70" s="88">
        <f t="shared" si="7"/>
        <v>0.02441230793010618</v>
      </c>
      <c r="AC70" s="88">
        <f t="shared" si="7"/>
        <v>-0.042752078211483524</v>
      </c>
      <c r="AD70" s="88">
        <f t="shared" si="7"/>
        <v>-0.049143226388658534</v>
      </c>
      <c r="AE70" s="88">
        <f t="shared" si="7"/>
        <v>-0.0587426461103181</v>
      </c>
      <c r="AF70" s="88">
        <f t="shared" si="7"/>
        <v>-0.043384074135352835</v>
      </c>
      <c r="AG70" s="88">
        <f t="shared" si="7"/>
        <v>-0.01816259253207886</v>
      </c>
      <c r="AH70" s="88">
        <f t="shared" si="7"/>
        <v>-0.03702445466177773</v>
      </c>
      <c r="AI70" s="88">
        <f t="shared" si="7"/>
        <v>-0.07866919975093212</v>
      </c>
      <c r="AJ70" s="88">
        <f t="shared" si="7"/>
        <v>-0.022166380838981037</v>
      </c>
      <c r="AK70" s="88">
        <f t="shared" si="7"/>
        <v>0.0038906742136852746</v>
      </c>
      <c r="AL70" s="88">
        <f t="shared" si="7"/>
        <v>0.03992578302380023</v>
      </c>
      <c r="AM70" s="88">
        <f t="shared" si="7"/>
        <v>-0.011003934620776312</v>
      </c>
      <c r="AN70" s="88">
        <f t="shared" si="7"/>
        <v>-0.04923416510354994</v>
      </c>
      <c r="AO70" s="88">
        <f t="shared" si="7"/>
        <v>-0.033877345598807285</v>
      </c>
      <c r="AP70" s="88">
        <f t="shared" si="7"/>
        <v>-0.07151179364863192</v>
      </c>
      <c r="AQ70" s="88">
        <f t="shared" si="7"/>
        <v>0.0070194826447649294</v>
      </c>
      <c r="AR70" s="88">
        <f t="shared" si="7"/>
        <v>-0.02649691294262002</v>
      </c>
      <c r="AS70" s="88">
        <f t="shared" si="7"/>
        <v>-0.024379904964121346</v>
      </c>
      <c r="AT70" s="88">
        <f t="shared" si="7"/>
        <v>0.0319220122448991</v>
      </c>
      <c r="AU70" s="88">
        <f t="shared" si="7"/>
        <v>-0.015053612807901962</v>
      </c>
      <c r="AV70" s="88">
        <f t="shared" si="7"/>
        <v>-0.07396672387507819</v>
      </c>
      <c r="AW70" s="88">
        <f t="shared" si="7"/>
        <v>-0.06845317069808499</v>
      </c>
      <c r="AX70" s="88">
        <f t="shared" si="7"/>
        <v>-0.014136053128414816</v>
      </c>
      <c r="AY70" s="88">
        <f t="shared" si="7"/>
        <v>-0.03565871569471024</v>
      </c>
      <c r="AZ70" s="88">
        <f t="shared" si="7"/>
        <v>-0.07359751503803302</v>
      </c>
      <c r="BA70" s="88">
        <f t="shared" si="7"/>
        <v>-0.018254015254565936</v>
      </c>
      <c r="BB70" s="88">
        <f t="shared" si="7"/>
        <v>-0.04597579504556171</v>
      </c>
      <c r="BC70" s="88">
        <f t="shared" si="7"/>
        <v>-0.04663970565855191</v>
      </c>
      <c r="BD70" s="88">
        <f t="shared" si="7"/>
        <v>0.029328408439517117</v>
      </c>
      <c r="BE70" s="88">
        <f t="shared" si="7"/>
        <v>0.06769189070296311</v>
      </c>
      <c r="BF70" s="88">
        <f aca="true" t="shared" si="8" ref="BF70:BM70">(1+BF67)/(1+BF68)-1</f>
        <v>0.0385863235952848</v>
      </c>
      <c r="BG70" s="88">
        <f t="shared" si="8"/>
        <v>0.028238228776776175</v>
      </c>
      <c r="BH70" s="88">
        <f t="shared" si="8"/>
        <v>0.03913826310651758</v>
      </c>
      <c r="BI70" s="88">
        <f t="shared" si="8"/>
        <v>0.04166441792868136</v>
      </c>
      <c r="BJ70" s="88">
        <f t="shared" si="8"/>
        <v>-0.003212954421360492</v>
      </c>
      <c r="BK70" s="88">
        <f t="shared" si="8"/>
        <v>-0.07743369929624433</v>
      </c>
      <c r="BL70" s="88">
        <f t="shared" si="8"/>
        <v>-0.08474872227700747</v>
      </c>
      <c r="BM70" s="88">
        <f t="shared" si="8"/>
        <v>0.002509635797952603</v>
      </c>
      <c r="BN70" s="88">
        <f aca="true" t="shared" si="9" ref="BN70:CD70">(1+BN67)/(1+BN68)-1</f>
        <v>-0.029975200657824774</v>
      </c>
      <c r="BO70" s="88">
        <f t="shared" si="9"/>
        <v>0.024144307673954257</v>
      </c>
      <c r="BP70" s="88">
        <f t="shared" si="9"/>
        <v>-0.056751810121072443</v>
      </c>
      <c r="BQ70" s="88">
        <f t="shared" si="9"/>
        <v>0.03131319791984488</v>
      </c>
      <c r="BR70" s="88">
        <f t="shared" si="9"/>
        <v>-0.0973983381616732</v>
      </c>
      <c r="BS70" s="88">
        <f t="shared" si="9"/>
        <v>-0.09729103732182398</v>
      </c>
      <c r="BT70" s="88">
        <f t="shared" si="9"/>
        <v>-0.09836992999947825</v>
      </c>
      <c r="BU70" s="88">
        <f t="shared" si="9"/>
        <v>-0.09589204877413182</v>
      </c>
      <c r="BV70" s="88">
        <f t="shared" si="9"/>
        <v>-0.06202314881129878</v>
      </c>
      <c r="BW70" s="88">
        <f t="shared" si="9"/>
        <v>0.021851727056141135</v>
      </c>
      <c r="BX70" s="88">
        <f t="shared" si="9"/>
        <v>-0.08791105803628074</v>
      </c>
      <c r="BY70" s="88">
        <f t="shared" si="9"/>
        <v>-0.08763197457653416</v>
      </c>
      <c r="BZ70" s="88">
        <f t="shared" si="9"/>
        <v>-0.00035498067634653907</v>
      </c>
      <c r="CA70" s="88">
        <f t="shared" si="9"/>
        <v>-0.10379422942800454</v>
      </c>
      <c r="CB70" s="88">
        <f t="shared" si="9"/>
        <v>0.007711827779712355</v>
      </c>
      <c r="CC70" s="88">
        <f t="shared" si="9"/>
        <v>0.028155737286794436</v>
      </c>
      <c r="CD70" s="88">
        <f t="shared" si="9"/>
        <v>-0.08506043470191538</v>
      </c>
      <c r="CE70" s="88">
        <f aca="true" t="shared" si="10" ref="CE70:CL70">(1+CE67)/(1+CE68)-1</f>
        <v>-0.12218258420656913</v>
      </c>
      <c r="CF70" s="88">
        <f t="shared" si="10"/>
        <v>0.03296501530859408</v>
      </c>
      <c r="CG70" s="88">
        <f t="shared" si="10"/>
        <v>0.057344050448868034</v>
      </c>
      <c r="CH70" s="88">
        <f t="shared" si="10"/>
        <v>-0.017048514371834966</v>
      </c>
      <c r="CI70" s="88">
        <f t="shared" si="10"/>
        <v>0.032346399693051975</v>
      </c>
      <c r="CJ70" s="88">
        <f t="shared" si="10"/>
        <v>-0.0036539648690654403</v>
      </c>
      <c r="CK70" s="88">
        <f t="shared" si="10"/>
        <v>0.0003475890259962977</v>
      </c>
      <c r="CL70" s="88">
        <f t="shared" si="10"/>
        <v>0.07486291663091715</v>
      </c>
      <c r="CM70" s="88">
        <f aca="true" t="shared" si="11" ref="CM70:CS70">(1+CM67)/(1+CM68)-1</f>
        <v>0.02859288208740951</v>
      </c>
      <c r="CN70" s="88">
        <f t="shared" si="11"/>
        <v>-0.0035840865535450295</v>
      </c>
      <c r="CO70" s="88">
        <f t="shared" si="11"/>
        <v>0.019430154653089504</v>
      </c>
      <c r="CP70" s="88">
        <f t="shared" si="11"/>
        <v>0.04883517151166039</v>
      </c>
      <c r="CQ70" s="88">
        <f t="shared" si="11"/>
        <v>0.04715738283603854</v>
      </c>
      <c r="CR70" s="88">
        <f t="shared" si="11"/>
        <v>0.029323695588694854</v>
      </c>
      <c r="CS70" s="88">
        <f t="shared" si="11"/>
        <v>-0.02887810126214152</v>
      </c>
      <c r="CT70" s="88"/>
      <c r="CU70" s="88"/>
      <c r="CV70" s="88">
        <f>((1+CV67)/(1+CV68))-1</f>
        <v>-0.0073865812537713404</v>
      </c>
      <c r="CW70" s="88"/>
      <c r="CX70" s="88">
        <f>((1+CX67)/(1+CX68))-1</f>
        <v>0.011143488146751146</v>
      </c>
      <c r="CY70" s="88">
        <f>((1+CY67)/(1+CY68))-1</f>
        <v>-0.010911053991580988</v>
      </c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</row>
    <row r="71" spans="100:103" ht="12">
      <c r="CV71" s="96"/>
      <c r="CW71" s="96"/>
      <c r="CX71" s="96"/>
      <c r="CY71" s="96"/>
    </row>
    <row r="72" spans="16:103" ht="12.75">
      <c r="P72" s="5"/>
      <c r="Q72" s="5"/>
      <c r="X72" s="5"/>
      <c r="BO72" s="5"/>
      <c r="CV72" s="96"/>
      <c r="CW72" s="96"/>
      <c r="CX72" s="96"/>
      <c r="CY72" s="96"/>
    </row>
    <row r="73" spans="16:103" ht="12.75">
      <c r="P73" s="5"/>
      <c r="Q73" s="5"/>
      <c r="X73" s="5"/>
      <c r="BO73" s="5"/>
      <c r="CV73" s="96"/>
      <c r="CW73" s="96"/>
      <c r="CX73" s="96"/>
      <c r="CY73" s="96"/>
    </row>
    <row r="74" spans="16:67" ht="12.75">
      <c r="P74" s="5"/>
      <c r="Q74" s="5"/>
      <c r="X74" s="5"/>
      <c r="BO74" s="5"/>
    </row>
    <row r="75" spans="16:67" ht="12.75">
      <c r="P75" s="5"/>
      <c r="Q75" s="5"/>
      <c r="X75" s="5"/>
      <c r="BO75" s="5"/>
    </row>
    <row r="77" spans="16:67" ht="12.75">
      <c r="P77" s="5"/>
      <c r="Q77" s="5"/>
      <c r="X77" s="5"/>
      <c r="BO77" s="5"/>
    </row>
    <row r="78" spans="16:67" ht="12.75">
      <c r="P78" s="5"/>
      <c r="Q78" s="5"/>
      <c r="X78" s="5"/>
      <c r="BO78" s="5"/>
    </row>
    <row r="79" spans="16:67" ht="12.75">
      <c r="P79" s="5"/>
      <c r="Q79" s="5"/>
      <c r="X79" s="5"/>
      <c r="BO79" s="5"/>
    </row>
    <row r="80" spans="16:67" ht="12.75">
      <c r="P80" s="5"/>
      <c r="Q80" s="5"/>
      <c r="X80" s="5"/>
      <c r="BO80" s="5"/>
    </row>
    <row r="81" spans="16:67" ht="12.75">
      <c r="P81" s="5"/>
      <c r="Q81" s="5"/>
      <c r="X81" s="5"/>
      <c r="BO81" s="5"/>
    </row>
    <row r="82" spans="16:67" ht="12.75">
      <c r="P82" s="5"/>
      <c r="Q82" s="5"/>
      <c r="X82" s="5"/>
      <c r="BO82" s="5"/>
    </row>
    <row r="83" spans="16:67" ht="12.75">
      <c r="P83" s="5"/>
      <c r="Q83" s="5"/>
      <c r="X83" s="5"/>
      <c r="BO83" s="5"/>
    </row>
    <row r="85" ht="12.75">
      <c r="BO85" s="14"/>
    </row>
    <row r="86" ht="12.75">
      <c r="BO86" s="14"/>
    </row>
    <row r="87" ht="12.75">
      <c r="BO87" s="14"/>
    </row>
    <row r="88" ht="12.75">
      <c r="BO88" s="13"/>
    </row>
    <row r="89" ht="12">
      <c r="BO89" s="9"/>
    </row>
    <row r="90" ht="12">
      <c r="BO90" s="9"/>
    </row>
    <row r="91" ht="12">
      <c r="BO91" s="9"/>
    </row>
    <row r="92" ht="12">
      <c r="BO92" s="9"/>
    </row>
    <row r="93" ht="12.75">
      <c r="BO93" s="31"/>
    </row>
    <row r="94" ht="12.75">
      <c r="BO94" s="31"/>
    </row>
    <row r="95" ht="12.75">
      <c r="BO95" s="31"/>
    </row>
    <row r="96" ht="12.75">
      <c r="BO96" s="31"/>
    </row>
    <row r="97" ht="12.75">
      <c r="BO97" s="31"/>
    </row>
    <row r="98" ht="12.75">
      <c r="BO98" s="31"/>
    </row>
    <row r="99" ht="12.75">
      <c r="BO99" s="31"/>
    </row>
    <row r="100" ht="12.75">
      <c r="BO100" s="31"/>
    </row>
    <row r="101" ht="12.75">
      <c r="BO101" s="31"/>
    </row>
    <row r="102" ht="12.75">
      <c r="BO102" s="31"/>
    </row>
    <row r="103" ht="12.75">
      <c r="BO103" s="31"/>
    </row>
    <row r="104" ht="12.75">
      <c r="BO104" s="31"/>
    </row>
    <row r="105" ht="12.75">
      <c r="BO105" s="31"/>
    </row>
    <row r="106" ht="12.75">
      <c r="BO106" s="31"/>
    </row>
    <row r="107" ht="12.75">
      <c r="BO107" s="31"/>
    </row>
  </sheetData>
  <printOptions/>
  <pageMargins left="0.68" right="0.71" top="1.25" bottom="0.984251968503937" header="0.71" footer="0.5118110236220472"/>
  <pageSetup horizontalDpi="600" verticalDpi="600" orientation="portrait" paperSize="9" r:id="rId1"/>
  <headerFooter alignWithMargins="0">
    <oddHeader xml:space="preserve">&amp;C&amp;"Times New Roman,Bold"&amp;14 3.5. SUNDURLIÐUN Á ÖÐRUM FJÁRFESTINGUM 31.12.1999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Ásta Þórarinsdóttir</dc:creator>
  <cp:keywords/>
  <dc:description/>
  <cp:lastModifiedBy>Sigríður Ómarsdóttir</cp:lastModifiedBy>
  <cp:lastPrinted>2001-12-04T09:08:55Z</cp:lastPrinted>
  <dcterms:created xsi:type="dcterms:W3CDTF">1998-02-16T11:29:36Z</dcterms:created>
  <dcterms:modified xsi:type="dcterms:W3CDTF">2001-12-04T09:15:09Z</dcterms:modified>
  <cp:category/>
  <cp:version/>
  <cp:contentType/>
  <cp:contentStatus/>
</cp:coreProperties>
</file>