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822" firstSheet="5" activeTab="9"/>
  </bookViews>
  <sheets>
    <sheet name="2.1 Alpabetical order" sheetId="1" r:id="rId1"/>
    <sheet name="2.2 List" sheetId="2" r:id="rId2"/>
    <sheet name="2.3 Schemes" sheetId="3" r:id="rId3"/>
    <sheet name="3.1 Changes" sheetId="4" r:id="rId4"/>
    <sheet name="3.2 Balance Sheet" sheetId="5" r:id="rId5"/>
    <sheet name="3.3 Cash Flow. " sheetId="6" r:id="rId6"/>
    <sheet name="4.1. Mutual Insurance Div." sheetId="7" r:id="rId7"/>
    <sheet name="4.2 Ratios (Mutual Div.)" sheetId="8" r:id="rId8"/>
    <sheet name="5.1. Personal Pension." sheetId="9" r:id="rId9"/>
    <sheet name="5.2 Ratios (Personal Pen.)" sheetId="10" r:id="rId10"/>
    <sheet name="6.1. Specifications" sheetId="11" r:id="rId11"/>
    <sheet name="7.1 Develop. Personal Pension" sheetId="12" r:id="rId12"/>
  </sheets>
  <definedNames>
    <definedName name="_xlnm.Print_Area" localSheetId="7">'4.2 Ratios (Mutual Div.)'!$A$1:$BO$49</definedName>
    <definedName name="_xlnm.Print_Area" localSheetId="9">'5.2 Ratios (Personal Pen.)'!$B$1:$AV$48</definedName>
    <definedName name="_xlnm.Print_Area" localSheetId="10">'6.1. Specifications'!$C$1:$BV$32</definedName>
    <definedName name="_xlnm.Print_Titles" localSheetId="3">'3.1 Changes'!$A:$A</definedName>
    <definedName name="_xlnm.Print_Titles" localSheetId="4">'3.2 Balance Sheet'!$A:$A</definedName>
    <definedName name="_xlnm.Print_Titles" localSheetId="5">'3.3 Cash Flow. '!$A:$A</definedName>
    <definedName name="_xlnm.Print_Titles" localSheetId="6">'4.1. Mutual Insurance Div.'!$A:$A</definedName>
    <definedName name="_xlnm.Print_Titles" localSheetId="7">'4.2 Ratios (Mutual Div.)'!$A:$B</definedName>
    <definedName name="_xlnm.Print_Titles" localSheetId="8">'5.1. Personal Pension.'!$A:$A</definedName>
    <definedName name="_xlnm.Print_Titles" localSheetId="9">'5.2 Ratios (Personal Pen.)'!$A:$B</definedName>
    <definedName name="_xlnm.Print_Titles" localSheetId="10">'6.1. Specifications'!$A:$B</definedName>
  </definedNames>
  <calcPr fullCalcOnLoad="1"/>
</workbook>
</file>

<file path=xl/comments4.xml><?xml version="1.0" encoding="utf-8"?>
<comments xmlns="http://schemas.openxmlformats.org/spreadsheetml/2006/main">
  <authors>
    <author>Hulda Gu?mundsd?ttir</author>
  </authors>
  <commentList>
    <comment ref="AS9" authorId="0">
      <text>
        <r>
          <rPr>
            <b/>
            <sz val="8"/>
            <rFont val="Tahoma"/>
            <family val="0"/>
          </rPr>
          <t>Hulda Guðmundsdóttir:</t>
        </r>
        <r>
          <rPr>
            <sz val="8"/>
            <rFont val="Tahoma"/>
            <family val="0"/>
          </rPr>
          <t xml:space="preserve">
   Þátttaka launagreiðenda í lífeyrisútgjöldum</t>
        </r>
      </text>
    </comment>
  </commentList>
</comments>
</file>

<file path=xl/comments7.xml><?xml version="1.0" encoding="utf-8"?>
<comments xmlns="http://schemas.openxmlformats.org/spreadsheetml/2006/main">
  <authors>
    <author>halldork</author>
  </authors>
  <commentList>
    <comment ref="G118" authorId="0">
      <text>
        <r>
          <rPr>
            <b/>
            <sz val="8"/>
            <rFont val="Tahoma"/>
            <family val="0"/>
          </rPr>
          <t>skuldir við séreignarsjóð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<sst xmlns="http://schemas.openxmlformats.org/spreadsheetml/2006/main" count="2731" uniqueCount="543">
  <si>
    <t>Almennur lífeyrissjóður VÍB</t>
  </si>
  <si>
    <t>Eftirlaunasj. slökkviliðsmanna á Keflavíkurfl.v.</t>
  </si>
  <si>
    <t>Eftirlaunasj. starfsm. Hafnarfjarðarkaupstaðar</t>
  </si>
  <si>
    <t>Eftirlaunasj. starfsmanna Íslandsbanka hf.</t>
  </si>
  <si>
    <t>Eftirlaunasjóður FÍA</t>
  </si>
  <si>
    <t>Eftirlaunasjóður Reykjanesbæjar</t>
  </si>
  <si>
    <t>Eftirlaunasjóður Sláturf. Suðurlands</t>
  </si>
  <si>
    <t>Eftirlaunasjóður starfsm. Útvegsbanka Ísl.</t>
  </si>
  <si>
    <t>Eftirlaunasjóður starfsmanna Olíuverslunar Ísl.</t>
  </si>
  <si>
    <t>Frjálsi lífeyrissjóðurinn</t>
  </si>
  <si>
    <t>Íslenski lífeyrissjóðurinn</t>
  </si>
  <si>
    <t>Lífeyrissj. starfsm. Áburðarverksmiðju ríkisins</t>
  </si>
  <si>
    <t>Lífeyrissjóður Akraneskaupstaðar</t>
  </si>
  <si>
    <t>Lífeyrissjóður arkitekta og tæknifræðinga</t>
  </si>
  <si>
    <t>Lífeyrissjóður Austurlands</t>
  </si>
  <si>
    <t>Lífeyrissjóður bankamanna</t>
  </si>
  <si>
    <t>Lífeyrissjóður Bolungarvíkur</t>
  </si>
  <si>
    <t>Lífeyrissjóður bænda</t>
  </si>
  <si>
    <t>Lífeyrissjóður Eimskipafélags Íslands hf.</t>
  </si>
  <si>
    <t>Lífeyrissjóður Flugvirkjafélags Íslands</t>
  </si>
  <si>
    <t>Lífeyrissjóður hjúkrunarfræðinga</t>
  </si>
  <si>
    <t>Lífeyrissjóður lækna</t>
  </si>
  <si>
    <t xml:space="preserve">Lífeyrissjóður Mjólkursamsölunnar               </t>
  </si>
  <si>
    <t>Lífeyrissjóður Neskaupstaðar</t>
  </si>
  <si>
    <t>Lífeyrissjóður Norðurlands</t>
  </si>
  <si>
    <t>Lífeyrissjóður Rangæinga</t>
  </si>
  <si>
    <t>Lífeyrissjóður sjómanna</t>
  </si>
  <si>
    <t>Lífeyrissjóður starfsm. Akureyrarbæjar</t>
  </si>
  <si>
    <t>Lífeyrissjóður starfsm. Búnaðarbanka Íslands hf.</t>
  </si>
  <si>
    <t>Lífeyrissjóður starfsm. Reykjavíkurapóteks</t>
  </si>
  <si>
    <t>Lífeyrissjóður starfsm. Vestmannaeyjabæjar</t>
  </si>
  <si>
    <t>Lífeyrissjóður starfsmanna Húsavíkurbæjar</t>
  </si>
  <si>
    <t>Lífeyrissjóður starfsmanna Reykjavíkurborgar</t>
  </si>
  <si>
    <t xml:space="preserve">Lífeyrissjóður starfsmanna ríkisins </t>
  </si>
  <si>
    <t>Lífeyrissjóður starfsmanna sveitarfélaga</t>
  </si>
  <si>
    <t>Lífeyrissjóður Suðurlands</t>
  </si>
  <si>
    <t>Lífeyrissjóður Suðurnesja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</si>
  <si>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</si>
  <si>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</si>
  <si>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</si>
  <si>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</si>
  <si>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</si>
  <si>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 Vesturlands</t>
  </si>
  <si>
    <t>Lífeyrissjóðurinn Framsýn</t>
  </si>
  <si>
    <t>Lífeyrissjóðurinn Lífiðn</t>
  </si>
  <si>
    <t>Lífeyrissjóðurinn Skjöldur</t>
  </si>
  <si>
    <t>Sameinaði lífeyrissjóðurinn</t>
  </si>
  <si>
    <t>Samvinnulífeyrissjóðurinn</t>
  </si>
  <si>
    <t>Séreignalífeyrissjóðurinn</t>
  </si>
  <si>
    <t>Söfnunarsjóður lífeyrisréttinda</t>
  </si>
  <si>
    <t>%</t>
  </si>
  <si>
    <t>3)</t>
  </si>
  <si>
    <t>1)</t>
  </si>
  <si>
    <t>2) 4)</t>
  </si>
  <si>
    <t>2)</t>
  </si>
  <si>
    <t xml:space="preserve"> </t>
  </si>
  <si>
    <t>1) 2)</t>
  </si>
  <si>
    <t>Samtals:</t>
  </si>
  <si>
    <t>Hlutfalls-</t>
  </si>
  <si>
    <t>Aldursháð-</t>
  </si>
  <si>
    <t>Lífeyrissj.</t>
  </si>
  <si>
    <t>Sameinaði</t>
  </si>
  <si>
    <t>Söfnunarsj.</t>
  </si>
  <si>
    <t>Samvinnu-</t>
  </si>
  <si>
    <t xml:space="preserve">Frjálsi </t>
  </si>
  <si>
    <t>Almennur</t>
  </si>
  <si>
    <t>Eftirlauna-</t>
  </si>
  <si>
    <t>Lífeyris-</t>
  </si>
  <si>
    <t xml:space="preserve">Íslenski </t>
  </si>
  <si>
    <t>Eftirlaunasj.</t>
  </si>
  <si>
    <t>Séreigna-</t>
  </si>
  <si>
    <t>Lífeyrissjóður</t>
  </si>
  <si>
    <t>Trygginga-</t>
  </si>
  <si>
    <t>verslunar-</t>
  </si>
  <si>
    <t>st. ríkisins</t>
  </si>
  <si>
    <t>Framsýn</t>
  </si>
  <si>
    <t>lífeyris-</t>
  </si>
  <si>
    <t>sjómanna</t>
  </si>
  <si>
    <t>Norður-</t>
  </si>
  <si>
    <t>banka-</t>
  </si>
  <si>
    <t>Lífiðn</t>
  </si>
  <si>
    <t>Austur-</t>
  </si>
  <si>
    <t xml:space="preserve">Vest- </t>
  </si>
  <si>
    <t xml:space="preserve">lækna </t>
  </si>
  <si>
    <t xml:space="preserve">bænda </t>
  </si>
  <si>
    <t>Suður-</t>
  </si>
  <si>
    <t>verk-</t>
  </si>
  <si>
    <t>Vestmanna-</t>
  </si>
  <si>
    <t>lífeyrissj.</t>
  </si>
  <si>
    <t>hjúkrunar-</t>
  </si>
  <si>
    <t>Vestur-</t>
  </si>
  <si>
    <t>sjóður</t>
  </si>
  <si>
    <t>sjóðurinn</t>
  </si>
  <si>
    <t>starfsm.</t>
  </si>
  <si>
    <t xml:space="preserve">arkitekta og </t>
  </si>
  <si>
    <t>Suðurlands</t>
  </si>
  <si>
    <t>Eimskipa-</t>
  </si>
  <si>
    <t>Flugvirkjaf.</t>
  </si>
  <si>
    <t>Bolungar-</t>
  </si>
  <si>
    <t>Rangæinga</t>
  </si>
  <si>
    <t>slökkvilm. á</t>
  </si>
  <si>
    <t>stm. Kópa-</t>
  </si>
  <si>
    <t>Hafnarfj-</t>
  </si>
  <si>
    <t>Mjólkur-</t>
  </si>
  <si>
    <t>Tannl.fél.</t>
  </si>
  <si>
    <t>stm. Akur-</t>
  </si>
  <si>
    <t>Akranes-</t>
  </si>
  <si>
    <t>Sláturfélags</t>
  </si>
  <si>
    <t>stm. Olíu-</t>
  </si>
  <si>
    <t>Reykjanes-</t>
  </si>
  <si>
    <t>Neskaup-</t>
  </si>
  <si>
    <t xml:space="preserve">starfsm. </t>
  </si>
  <si>
    <t>stm. Vestm-</t>
  </si>
  <si>
    <t>stm. Rvík.-</t>
  </si>
  <si>
    <t xml:space="preserve">manna  </t>
  </si>
  <si>
    <t>samtals</t>
  </si>
  <si>
    <t>Alþingis-</t>
  </si>
  <si>
    <t>Ráðherra-</t>
  </si>
  <si>
    <t xml:space="preserve">lands </t>
  </si>
  <si>
    <t>réttinda</t>
  </si>
  <si>
    <t>manna</t>
  </si>
  <si>
    <t>firðinga</t>
  </si>
  <si>
    <t xml:space="preserve">nesja </t>
  </si>
  <si>
    <t>fræðinga</t>
  </si>
  <si>
    <t xml:space="preserve">eyja </t>
  </si>
  <si>
    <t xml:space="preserve">VÍB   </t>
  </si>
  <si>
    <t xml:space="preserve">fræðinga </t>
  </si>
  <si>
    <t>FÍA</t>
  </si>
  <si>
    <t>Búnaðarb.</t>
  </si>
  <si>
    <t>tæknifr.</t>
  </si>
  <si>
    <t xml:space="preserve">sjóðurinn </t>
  </si>
  <si>
    <t>Reykjavb.</t>
  </si>
  <si>
    <t>félags Ísl.</t>
  </si>
  <si>
    <t>Íslandsb. hf.</t>
  </si>
  <si>
    <t>Íslands</t>
  </si>
  <si>
    <t>víkur</t>
  </si>
  <si>
    <t>sveitarfél.</t>
  </si>
  <si>
    <t>Keflavflugv.</t>
  </si>
  <si>
    <t xml:space="preserve">kaupst. </t>
  </si>
  <si>
    <t>samsöl.</t>
  </si>
  <si>
    <t xml:space="preserve">Íslands </t>
  </si>
  <si>
    <t>eyrarbæjar</t>
  </si>
  <si>
    <t>kaupst.</t>
  </si>
  <si>
    <t>versl. Ísl.</t>
  </si>
  <si>
    <t xml:space="preserve">bæjar  </t>
  </si>
  <si>
    <t>Áburðarv.</t>
  </si>
  <si>
    <t>Skjöldur</t>
  </si>
  <si>
    <t xml:space="preserve">staðar </t>
  </si>
  <si>
    <t>Útvegsb. Ísl.</t>
  </si>
  <si>
    <t>eyjabæjar</t>
  </si>
  <si>
    <t xml:space="preserve">apóteks </t>
  </si>
  <si>
    <t>(2)</t>
  </si>
  <si>
    <t>B-deild</t>
  </si>
  <si>
    <t>A-deild</t>
  </si>
  <si>
    <t>mannadeild</t>
  </si>
  <si>
    <t>deild</t>
  </si>
  <si>
    <t>(3)</t>
  </si>
  <si>
    <t>(4)</t>
  </si>
  <si>
    <t>Stigadeild</t>
  </si>
  <si>
    <t>Aldurstengd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</si>
  <si>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</si>
  <si>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</si>
  <si>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</si>
  <si>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</si>
  <si>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</si>
  <si>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</si>
  <si>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</si>
  <si>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</si>
  <si>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</si>
  <si>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</si>
  <si>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</si>
  <si>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</si>
  <si>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</si>
  <si>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</si>
  <si>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</si>
  <si>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</si>
  <si>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</si>
  <si>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</si>
  <si>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</si>
  <si>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</si>
  <si>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</si>
  <si>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</si>
  <si>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</si>
  <si>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</si>
  <si>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</si>
  <si>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</si>
  <si>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</si>
  <si>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</si>
  <si>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Deild I</t>
  </si>
  <si>
    <t>Deild II</t>
  </si>
  <si>
    <t>(33)</t>
  </si>
  <si>
    <t>(34)</t>
  </si>
  <si>
    <t>(35)</t>
  </si>
  <si>
    <t>(36)</t>
  </si>
  <si>
    <t>(37)</t>
  </si>
  <si>
    <t>V-deild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</si>
  <si>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</si>
  <si>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</si>
  <si>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</si>
  <si>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</si>
  <si>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</si>
  <si>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</si>
  <si>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</si>
  <si>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</si>
  <si>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</si>
  <si>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</si>
  <si>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</si>
  <si>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</si>
  <si>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</si>
  <si>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</si>
  <si>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Hrein raunávöxtun</t>
  </si>
  <si>
    <t>Lífeyrir</t>
  </si>
  <si>
    <t>Útreikningur á kennitölum:</t>
  </si>
  <si>
    <t>Meðalstaða eigna við útreikn.</t>
  </si>
  <si>
    <t>i</t>
  </si>
  <si>
    <t>Ávöxtl. 1</t>
  </si>
  <si>
    <t>Ávöxtl. 2</t>
  </si>
  <si>
    <t>Ávöxtl. 3</t>
  </si>
  <si>
    <t>Líf 1</t>
  </si>
  <si>
    <t>Líf 2</t>
  </si>
  <si>
    <t>Líf 3</t>
  </si>
  <si>
    <t>Tryggingar-</t>
  </si>
  <si>
    <t xml:space="preserve"> 31.12.2001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</si>
  <si>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</si>
  <si>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</si>
  <si>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</si>
  <si>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</si>
  <si>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</si>
  <si>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</si>
  <si>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</si>
  <si>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Ævisafn I</t>
  </si>
  <si>
    <t>Ævisafn II</t>
  </si>
  <si>
    <t>Ævisafn III</t>
  </si>
  <si>
    <t>(1)</t>
  </si>
  <si>
    <t>Leið 1</t>
  </si>
  <si>
    <t>Leið 2</t>
  </si>
  <si>
    <t>Safn II</t>
  </si>
  <si>
    <t>Safn I</t>
  </si>
  <si>
    <t>Eftirlaunasjóður slökkviliðsmanna á Keflavíkurflugvelli</t>
  </si>
  <si>
    <t>Eftirlaunasjóður starfsmanna Hafnarfjarðarkaupstaðar</t>
  </si>
  <si>
    <t>Eftirlaunasjóður starfsmanna Íslandsbanka hf.</t>
  </si>
  <si>
    <t>Eftirlaunasjóður Sláturfélags Suðurlands</t>
  </si>
  <si>
    <t>Eftirlaunasjóður starfsmanna Útvegsbanka Íslands</t>
  </si>
  <si>
    <t>Eftirlaunasjóður starfsmanna Olíuverslunar Íslands</t>
  </si>
  <si>
    <t>Lífeyrissjóður starfsmanna Akureyrarbæjar</t>
  </si>
  <si>
    <t>Lífeyrissjóður starfsmanna Búnaðarbanka Íslands hf.</t>
  </si>
  <si>
    <t>Lífeyrissjóður starfsmanna Reykjavíkurapóteks</t>
  </si>
  <si>
    <t>Lífeyrissjóður starfsmanna Vestmannaeyjabæjar</t>
  </si>
  <si>
    <t>Skipting annarra fjárf.</t>
  </si>
  <si>
    <t>Skipting eftir gjaldm.</t>
  </si>
  <si>
    <t>vogsbæjar</t>
  </si>
  <si>
    <t>Lífeyrissjóður starfsm. Kópavogsbæjar</t>
  </si>
  <si>
    <t>Lífeyrissjóður starfsmanna Kópavogsbæjar</t>
  </si>
  <si>
    <t>Lífeyrissjóður starfsmmanna Áburðarverksmiðju ríkisins</t>
  </si>
  <si>
    <t/>
  </si>
  <si>
    <t xml:space="preserve">st. ríkisins </t>
  </si>
  <si>
    <t>lands</t>
  </si>
  <si>
    <t xml:space="preserve">VÍB </t>
  </si>
  <si>
    <t>eyja</t>
  </si>
  <si>
    <t>félags Ísl</t>
  </si>
  <si>
    <t>VÍB</t>
  </si>
  <si>
    <t xml:space="preserve"> 31.12.2002</t>
  </si>
  <si>
    <t>Framtíðarsýn 1</t>
  </si>
  <si>
    <t>Framtíðarsýn 2</t>
  </si>
  <si>
    <t>Samtrygginga-</t>
  </si>
  <si>
    <t>deild/leið I</t>
  </si>
  <si>
    <t>deild/leið II</t>
  </si>
  <si>
    <t>deild/leið III</t>
  </si>
  <si>
    <t>Ævisafn IV</t>
  </si>
  <si>
    <t>leið I</t>
  </si>
  <si>
    <t>leið II</t>
  </si>
  <si>
    <t>leið III</t>
  </si>
  <si>
    <t xml:space="preserve">deild </t>
  </si>
  <si>
    <t>L-deild</t>
  </si>
  <si>
    <t>Leið I</t>
  </si>
  <si>
    <t>Leið II</t>
  </si>
  <si>
    <t>Leið III</t>
  </si>
  <si>
    <t>kaupstaðar</t>
  </si>
  <si>
    <t>stm. Húsavíkur-</t>
  </si>
  <si>
    <t>1) 5)</t>
  </si>
  <si>
    <t>Séreignar-</t>
  </si>
  <si>
    <t>A- og V-deild</t>
  </si>
  <si>
    <t>Fjárfestingatekjur nettó (F)</t>
  </si>
  <si>
    <t>Rekstrarkostnaður  nettó (K)</t>
  </si>
  <si>
    <t xml:space="preserve"> á ávöxtun (A+B-(F-K))</t>
  </si>
  <si>
    <t>Hækkun vísit. neysluv. 2002 (VNV)          j</t>
  </si>
  <si>
    <t>Hrein raunávöxtun (r)</t>
  </si>
  <si>
    <t>lífeyrissjóðurinn</t>
  </si>
  <si>
    <t>Norðurlands</t>
  </si>
  <si>
    <t>31.12.2002</t>
  </si>
  <si>
    <t>31.12.2001</t>
  </si>
  <si>
    <t>31.12.2000</t>
  </si>
  <si>
    <t>31.12.1999</t>
  </si>
  <si>
    <r>
      <t>.</t>
    </r>
    <r>
      <rPr>
        <b/>
        <vertAlign val="superscript"/>
        <sz val="10"/>
        <rFont val="Times New Roman"/>
        <family val="1"/>
      </rPr>
      <t>(3)</t>
    </r>
  </si>
  <si>
    <t>bók</t>
  </si>
  <si>
    <t>sýn 1</t>
  </si>
  <si>
    <t>Framtíðar-</t>
  </si>
  <si>
    <t>sýn 2</t>
  </si>
  <si>
    <t>Séreign + samtrygging</t>
  </si>
  <si>
    <t xml:space="preserve">Following list shows operating pension funds at the year-end 2002 listed by alphabetical order. </t>
  </si>
  <si>
    <t>Total of 51 pension funds.</t>
  </si>
  <si>
    <t>Number</t>
  </si>
  <si>
    <t>by size</t>
  </si>
  <si>
    <t>Divisions</t>
  </si>
  <si>
    <t>Name</t>
  </si>
  <si>
    <t>Net assets</t>
  </si>
  <si>
    <t>Increase</t>
  </si>
  <si>
    <t>in 2002</t>
  </si>
  <si>
    <t>000 IKR</t>
  </si>
  <si>
    <t>Pension units</t>
  </si>
  <si>
    <t xml:space="preserve">Final salary </t>
  </si>
  <si>
    <t>Age based</t>
  </si>
  <si>
    <t xml:space="preserve">Personal </t>
  </si>
  <si>
    <t xml:space="preserve">schemes </t>
  </si>
  <si>
    <t>units schemes</t>
  </si>
  <si>
    <t>pension schemes</t>
  </si>
  <si>
    <t>Mutual Insurance Divisions</t>
  </si>
  <si>
    <t>Amounts in 000 IKR.</t>
  </si>
  <si>
    <t>Pension schemes:</t>
  </si>
  <si>
    <t>Pension units:  Premiums are converted into pension units.  All premiums are equally weighted counter to the Age-based units scheme.</t>
  </si>
  <si>
    <t>Final salary:  Pension rights are based on final salary og other similar benchmarks (defined benefit scheme).</t>
  </si>
  <si>
    <t>Age dependent units: Premiums are converted into pension units according to the member´s age.  A young member´s premium accumulates</t>
  </si>
  <si>
    <t xml:space="preserve">    more interest until the pension is paid and is therefore more valuable.</t>
  </si>
  <si>
    <t>Personal pension: Individual accounts.</t>
  </si>
  <si>
    <t>ASSETS</t>
  </si>
  <si>
    <t xml:space="preserve">   Intangible assets</t>
  </si>
  <si>
    <t xml:space="preserve">   Investments</t>
  </si>
  <si>
    <t xml:space="preserve">     Buldings and premises</t>
  </si>
  <si>
    <t xml:space="preserve">     Consolidated and affiliated undertakings</t>
  </si>
  <si>
    <t xml:space="preserve">     Shares in consolidated undertakings</t>
  </si>
  <si>
    <t xml:space="preserve">     Loans to consolidated undertakings</t>
  </si>
  <si>
    <t xml:space="preserve">     Shares in affiliated undertakings</t>
  </si>
  <si>
    <t xml:space="preserve">     Loans to affiliated undertakings</t>
  </si>
  <si>
    <t xml:space="preserve">    Other investments  </t>
  </si>
  <si>
    <t xml:space="preserve">      Variable-yield securities</t>
  </si>
  <si>
    <t xml:space="preserve">      Fixed rate securities</t>
  </si>
  <si>
    <t xml:space="preserve">      Mortgage loans</t>
  </si>
  <si>
    <t xml:space="preserve">      Other loans</t>
  </si>
  <si>
    <t xml:space="preserve">      Bank deposits</t>
  </si>
  <si>
    <t xml:space="preserve">      Other investments</t>
  </si>
  <si>
    <t>Other investments</t>
  </si>
  <si>
    <t>Investments</t>
  </si>
  <si>
    <t xml:space="preserve">   Claims</t>
  </si>
  <si>
    <t xml:space="preserve">     On consolidated and affiliated undertakings</t>
  </si>
  <si>
    <t xml:space="preserve">     On employers</t>
  </si>
  <si>
    <t xml:space="preserve">     Other claims</t>
  </si>
  <si>
    <t>Claims</t>
  </si>
  <si>
    <t xml:space="preserve">   Other assets</t>
  </si>
  <si>
    <t xml:space="preserve">     Operating and other tangible assets</t>
  </si>
  <si>
    <t xml:space="preserve">     Cash and current deposits</t>
  </si>
  <si>
    <t xml:space="preserve">     Other assets</t>
  </si>
  <si>
    <t>Other assets</t>
  </si>
  <si>
    <r>
      <t xml:space="preserve">   </t>
    </r>
    <r>
      <rPr>
        <b/>
        <sz val="10"/>
        <rFont val="Times New Roman"/>
        <family val="1"/>
      </rPr>
      <t>Prepaid expenses and accrued income</t>
    </r>
  </si>
  <si>
    <t>TOTAL ASSETS</t>
  </si>
  <si>
    <t>LIABILITIES</t>
  </si>
  <si>
    <r>
      <t xml:space="preserve">  </t>
    </r>
    <r>
      <rPr>
        <b/>
        <sz val="10"/>
        <rFont val="Times New Roman"/>
        <family val="1"/>
      </rPr>
      <t>Obligations</t>
    </r>
  </si>
  <si>
    <r>
      <t xml:space="preserve">   </t>
    </r>
    <r>
      <rPr>
        <b/>
        <sz val="10"/>
        <rFont val="Times New Roman"/>
        <family val="1"/>
      </rPr>
      <t>Accounts payable</t>
    </r>
  </si>
  <si>
    <t xml:space="preserve">   Liabilities with consolid. and affil. undert.</t>
  </si>
  <si>
    <t xml:space="preserve">   Liabilities with credit institutions</t>
  </si>
  <si>
    <t xml:space="preserve">   Bonds payable</t>
  </si>
  <si>
    <t xml:space="preserve">   Other liabilities</t>
  </si>
  <si>
    <t>Accounts payable</t>
  </si>
  <si>
    <t xml:space="preserve">   Accrued expenses and unearned income</t>
  </si>
  <si>
    <t>TOTAL LIABILITIES</t>
  </si>
  <si>
    <t>NET ASSETS FOR PENSION</t>
  </si>
  <si>
    <t>PAYMENTS</t>
  </si>
  <si>
    <t>Premiums</t>
  </si>
  <si>
    <t xml:space="preserve">    Members</t>
  </si>
  <si>
    <t xml:space="preserve">    Employers</t>
  </si>
  <si>
    <t xml:space="preserve">    Transfer of rights and repayments</t>
  </si>
  <si>
    <t xml:space="preserve">    Special additional contributions</t>
  </si>
  <si>
    <t>Pension</t>
  </si>
  <si>
    <t xml:space="preserve">    Pension</t>
  </si>
  <si>
    <t xml:space="preserve">    The Pension Committee</t>
  </si>
  <si>
    <t xml:space="preserve">    Other direct expenses from disability pension</t>
  </si>
  <si>
    <t xml:space="preserve">    Insurance expenses</t>
  </si>
  <si>
    <t>Investment income</t>
  </si>
  <si>
    <t xml:space="preserve">    From consolidated undertakings</t>
  </si>
  <si>
    <t xml:space="preserve">    From affiliated undertakings</t>
  </si>
  <si>
    <t xml:space="preserve">    From holdings</t>
  </si>
  <si>
    <t xml:space="preserve">    From buildings and premises</t>
  </si>
  <si>
    <t xml:space="preserve">    Interest income and exchange rate difference</t>
  </si>
  <si>
    <t xml:space="preserve">    Income of changes in valuation of investment</t>
  </si>
  <si>
    <t xml:space="preserve">    Profit from sale of investments</t>
  </si>
  <si>
    <t xml:space="preserve">    Changes in asset reduction</t>
  </si>
  <si>
    <t xml:space="preserve">    Other investment income</t>
  </si>
  <si>
    <t xml:space="preserve">    Calculated inflation adjustment</t>
  </si>
  <si>
    <t>Investment expenses</t>
  </si>
  <si>
    <t xml:space="preserve">    Office and management expenses</t>
  </si>
  <si>
    <t xml:space="preserve">    Interest expenses</t>
  </si>
  <si>
    <t xml:space="preserve">    Expenses of changes in valuation of investment</t>
  </si>
  <si>
    <t xml:space="preserve">    Loss on sale of investments</t>
  </si>
  <si>
    <t xml:space="preserve">    Other investment expenses</t>
  </si>
  <si>
    <t xml:space="preserve">Operating expenses    </t>
  </si>
  <si>
    <t xml:space="preserve">    Other operating expenses</t>
  </si>
  <si>
    <t>Operating expenses</t>
  </si>
  <si>
    <t>Other income</t>
  </si>
  <si>
    <t>Other expenses</t>
  </si>
  <si>
    <t>Increase in net assets before extraordinary</t>
  </si>
  <si>
    <t>items and changes in valuation</t>
  </si>
  <si>
    <t>Extraordinary items</t>
  </si>
  <si>
    <t xml:space="preserve">    Extraordinary income</t>
  </si>
  <si>
    <t xml:space="preserve">    Extraordinary expenses</t>
  </si>
  <si>
    <t>Changes in valuation</t>
  </si>
  <si>
    <t>Increase in net assets</t>
  </si>
  <si>
    <t>Net assets from previous year end</t>
  </si>
  <si>
    <t xml:space="preserve">NET ASSETS FOR PENSION </t>
  </si>
  <si>
    <t>PAYMENTS END OF YEAR</t>
  </si>
  <si>
    <t>Inflow</t>
  </si>
  <si>
    <t xml:space="preserve">    Premiums</t>
  </si>
  <si>
    <t xml:space="preserve">    Investment income</t>
  </si>
  <si>
    <t xml:space="preserve">    Other income</t>
  </si>
  <si>
    <t xml:space="preserve">    Securities amortizations</t>
  </si>
  <si>
    <t xml:space="preserve">    Sold variable yield securities</t>
  </si>
  <si>
    <t xml:space="preserve">    Sold fixed rate securities</t>
  </si>
  <si>
    <t xml:space="preserve">    Reduction of bank deposits</t>
  </si>
  <si>
    <t xml:space="preserve">    Sold other investments</t>
  </si>
  <si>
    <t xml:space="preserve">    Other inflow</t>
  </si>
  <si>
    <t>Outflow</t>
  </si>
  <si>
    <t xml:space="preserve">    Pension payment</t>
  </si>
  <si>
    <t xml:space="preserve">    Investment expenses</t>
  </si>
  <si>
    <t xml:space="preserve">    Operating exp. excluding depreciation</t>
  </si>
  <si>
    <t xml:space="preserve">    Other expenses</t>
  </si>
  <si>
    <t xml:space="preserve">    Other outflow</t>
  </si>
  <si>
    <t>Disposable resources to purchase securities</t>
  </si>
  <si>
    <t xml:space="preserve">and other investments </t>
  </si>
  <si>
    <t>Purchase of securities and other investments</t>
  </si>
  <si>
    <t xml:space="preserve">    Variable-yield securities</t>
  </si>
  <si>
    <t xml:space="preserve">    Fixed rate securities</t>
  </si>
  <si>
    <t xml:space="preserve">    New mortgage loans and other loans</t>
  </si>
  <si>
    <t xml:space="preserve">    Increase of bank deposits</t>
  </si>
  <si>
    <t xml:space="preserve">    Other investments, cf. item 4.6</t>
  </si>
  <si>
    <t xml:space="preserve">    Buildings and premises</t>
  </si>
  <si>
    <t xml:space="preserve">    Consolidated and affiliated undertakings</t>
  </si>
  <si>
    <t xml:space="preserve">Purchase of securities and other investments </t>
  </si>
  <si>
    <t>Increase in cash and current deposits</t>
  </si>
  <si>
    <t>Cash and current deposits at beginning of year</t>
  </si>
  <si>
    <t>Cash and current deposits end of year</t>
  </si>
  <si>
    <t>Cash Flow</t>
  </si>
  <si>
    <t>Net Assets for pension</t>
  </si>
  <si>
    <t>Total Liabilities</t>
  </si>
  <si>
    <t>Obligations</t>
  </si>
  <si>
    <t>Liabilities</t>
  </si>
  <si>
    <t>Total Assets</t>
  </si>
  <si>
    <t>Intangible assets</t>
  </si>
  <si>
    <t>Assets</t>
  </si>
  <si>
    <t>Balance Sheet</t>
  </si>
  <si>
    <t>Net Assets for Pension</t>
  </si>
  <si>
    <t>Statement of changes in net assets</t>
  </si>
  <si>
    <t>for pension payment</t>
  </si>
  <si>
    <t>Net real rate of return</t>
  </si>
  <si>
    <t>Quoted variable yield securities (%)</t>
  </si>
  <si>
    <t>Quoted fixed rate securities (%)</t>
  </si>
  <si>
    <t>Unquoted variable yield securities (%)</t>
  </si>
  <si>
    <t>Unquoted fixed yield securities (%)</t>
  </si>
  <si>
    <t>Mortgages (%)</t>
  </si>
  <si>
    <t>Other investments (%)</t>
  </si>
  <si>
    <t xml:space="preserve">           Total:</t>
  </si>
  <si>
    <t>Assets in ISK (%)</t>
  </si>
  <si>
    <t>Assets in foreign currencies (%)</t>
  </si>
  <si>
    <t>Number of fund members</t>
  </si>
  <si>
    <t>Number of pensioners</t>
  </si>
  <si>
    <t>Old-age pension  (%)</t>
  </si>
  <si>
    <t>Disability pension  (%)</t>
  </si>
  <si>
    <t>Pension to surviving spouse  (%)</t>
  </si>
  <si>
    <t>Pension to surviving children  (%)</t>
  </si>
  <si>
    <t>Other pension</t>
  </si>
  <si>
    <t xml:space="preserve">            Total:</t>
  </si>
  <si>
    <t>Pensions´ burden</t>
  </si>
  <si>
    <t>Net assets in surplus of total obligations</t>
  </si>
  <si>
    <t>Net assets in surplus of accrued obligations</t>
  </si>
  <si>
    <t>Miscellaneous remarks:</t>
  </si>
  <si>
    <t>Average net real rate of return 1998-2002</t>
  </si>
  <si>
    <t>Explanation to financial ratios:</t>
  </si>
  <si>
    <t xml:space="preserve">      where operating cost has been deducted from investment income.</t>
  </si>
  <si>
    <t xml:space="preserve"> 2.  Average net real rate of return for the last five years according to the annual accounts.</t>
  </si>
  <si>
    <t xml:space="preserve"> 3.  Proportion of other investments.</t>
  </si>
  <si>
    <t xml:space="preserve"> 4.  Proportion of other by currencies.</t>
  </si>
  <si>
    <t>7.   Other pension is inheritance paid from private pension plans.</t>
  </si>
  <si>
    <t xml:space="preserve"> 8.  Pension in percentages of premiums.</t>
  </si>
  <si>
    <t xml:space="preserve">      present value of future contributions) – total obligations)/total obligations.</t>
  </si>
  <si>
    <t xml:space="preserve">      accrued obligations)/accrued obligations.</t>
  </si>
  <si>
    <t xml:space="preserve"> 1.  Net real rate of return based on the Consumer price index (2% increase in 2002)</t>
  </si>
  <si>
    <t xml:space="preserve"> 5.  Average number of fund members contributing premiums in 2002.</t>
  </si>
  <si>
    <t xml:space="preserve"> 6.  Average number of pensioners receiving payment in 2002.</t>
  </si>
  <si>
    <t xml:space="preserve"> 9.  Financial position in accordance with an actuarial survey pr. 31.12.2002 ((Assets + </t>
  </si>
  <si>
    <t xml:space="preserve">10. Financial position in accordance with an actuarial survey pr. 31.12.2002 (Assets - </t>
  </si>
  <si>
    <t>Marketable bonds</t>
  </si>
  <si>
    <t>Treasure notes and bonds</t>
  </si>
  <si>
    <t>Municipalities bonds</t>
  </si>
  <si>
    <t>Credit instituitions notes and bonds</t>
  </si>
  <si>
    <t>Other securities</t>
  </si>
  <si>
    <t>Total</t>
  </si>
  <si>
    <t>Other securites</t>
  </si>
  <si>
    <t>Mortgage loans</t>
  </si>
  <si>
    <t>Shares</t>
  </si>
  <si>
    <t>Listed shares</t>
  </si>
  <si>
    <t>Unlisted shares</t>
  </si>
  <si>
    <t>INVESTMENTS TOTAL</t>
  </si>
  <si>
    <t>Thereof foreign securites</t>
  </si>
  <si>
    <t>Thereof unit shares</t>
  </si>
  <si>
    <t>Thereof unlisted securites</t>
  </si>
  <si>
    <t>(44 divisions)</t>
  </si>
  <si>
    <t xml:space="preserve">Pension </t>
  </si>
  <si>
    <r>
      <t xml:space="preserve">Pension funds operating purely as personal pension savings funds prior to the entry into effect of Act 129/1997 </t>
    </r>
    <r>
      <rPr>
        <b/>
        <vertAlign val="superscript"/>
        <sz val="10"/>
        <rFont val="Times New Roman"/>
        <family val="1"/>
      </rPr>
      <t>(1)</t>
    </r>
  </si>
  <si>
    <t>Other pension funds</t>
  </si>
  <si>
    <r>
      <t xml:space="preserve">Depositories other than pension funds </t>
    </r>
    <r>
      <rPr>
        <b/>
        <vertAlign val="superscript"/>
        <sz val="10"/>
        <rFont val="Times New Roman"/>
        <family val="1"/>
      </rPr>
      <t>(3)</t>
    </r>
  </si>
  <si>
    <t>Total:</t>
  </si>
  <si>
    <t>Banks and securities firms</t>
  </si>
  <si>
    <t>Savings banks</t>
  </si>
  <si>
    <t>Life insurance companies</t>
  </si>
  <si>
    <r>
      <t>.</t>
    </r>
    <r>
      <rPr>
        <b/>
        <vertAlign val="superscript"/>
        <sz val="10"/>
        <rFont val="Times New Roman"/>
        <family val="1"/>
      </rPr>
      <t>(1)</t>
    </r>
    <r>
      <rPr>
        <sz val="9"/>
        <rFont val="Times New Roman"/>
        <family val="1"/>
      </rPr>
      <t>Private account for supplementary cover (bundin séreign)</t>
    </r>
  </si>
  <si>
    <t>Explanations:</t>
  </si>
  <si>
    <t>1) Obligations guaranteed by others.  2) No longer receive premiums.</t>
  </si>
  <si>
    <t xml:space="preserve">3) Pension funds that merged in the year 2000 are included in the net asset at the end of the year.  </t>
  </si>
  <si>
    <t xml:space="preserve">4) Obligations guaranteed by others for department II but the fund in total is grouped as fund not guaranteed by others. </t>
  </si>
  <si>
    <t xml:space="preserve">5) Obligations guaranteed by others for department A but the fund in total is grouped as fund not guaranteed by others. </t>
  </si>
  <si>
    <t>Average number of fund members contributing premiums in 2002.</t>
  </si>
  <si>
    <t>Average number of pensioners receiving payment in 2002.</t>
  </si>
  <si>
    <t>Total members at year end 2002</t>
  </si>
  <si>
    <r>
      <t>(2)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Total members at year end 2002</t>
    </r>
  </si>
  <si>
    <r>
      <t xml:space="preserve">Members </t>
    </r>
    <r>
      <rPr>
        <b/>
        <vertAlign val="superscript"/>
        <sz val="10"/>
        <rFont val="Times New Roman"/>
        <family val="1"/>
      </rPr>
      <t>(2)</t>
    </r>
  </si>
  <si>
    <t xml:space="preserve">    Supplementary pension cover*</t>
  </si>
  <si>
    <t xml:space="preserve">     *Thereof from mandatory 10% premium </t>
  </si>
  <si>
    <t xml:space="preserve">Total:   </t>
  </si>
  <si>
    <t>TOTAL</t>
  </si>
  <si>
    <t>(60 divisions)</t>
  </si>
  <si>
    <t>(17 divisions)</t>
  </si>
  <si>
    <t>(43 divisions)</t>
  </si>
  <si>
    <t>Funds</t>
  </si>
  <si>
    <t>Funds not</t>
  </si>
  <si>
    <t>guaranteed</t>
  </si>
  <si>
    <t>by others</t>
  </si>
  <si>
    <t>last 2 years</t>
  </si>
  <si>
    <t>last 4 years</t>
  </si>
  <si>
    <t>Average yield</t>
  </si>
  <si>
    <t>last 3 years</t>
  </si>
  <si>
    <t>Established</t>
  </si>
  <si>
    <t>Established 2002</t>
  </si>
  <si>
    <t>calculated daily</t>
  </si>
  <si>
    <t>Exchange rate</t>
  </si>
  <si>
    <t>Exchange rate calculated daily</t>
  </si>
  <si>
    <t xml:space="preserve">Exchange rate 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</si>
</sst>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[$-40F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Courier"/>
      <family val="0"/>
    </font>
    <font>
      <sz val="9"/>
      <name val="Courier"/>
      <family val="0"/>
    </font>
    <font>
      <sz val="8"/>
      <name val="Times New Roman"/>
      <family val="1"/>
    </font>
    <font>
      <b/>
      <sz val="8"/>
      <name val="Times New Roman"/>
      <family val="0"/>
    </font>
    <font>
      <sz val="8"/>
      <name val="Courie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ourier"/>
      <family val="0"/>
    </font>
    <font>
      <sz val="8"/>
      <name val="Arial"/>
      <family val="0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9"/>
      <name val="Courier"/>
      <family val="0"/>
    </font>
    <font>
      <b/>
      <i/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21" applyFont="1" applyAlignment="1" applyProtection="1">
      <alignment horizontal="right"/>
      <protection/>
    </xf>
    <xf numFmtId="0" fontId="1" fillId="0" borderId="0" xfId="21" applyFont="1" applyProtection="1">
      <alignment/>
      <protection/>
    </xf>
    <xf numFmtId="0" fontId="3" fillId="0" borderId="0" xfId="21" applyFont="1" applyAlignment="1" applyProtection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 applyProtection="1">
      <alignment/>
      <protection/>
    </xf>
    <xf numFmtId="0" fontId="4" fillId="0" borderId="0" xfId="21" applyFont="1" applyAlignment="1" applyProtection="1">
      <alignment horizontal="right"/>
      <protection/>
    </xf>
    <xf numFmtId="3" fontId="2" fillId="0" borderId="0" xfId="21" applyNumberFormat="1" applyFont="1" applyAlignment="1" applyProtection="1" quotePrefix="1">
      <alignment horizontal="right"/>
      <protection/>
    </xf>
    <xf numFmtId="0" fontId="2" fillId="0" borderId="0" xfId="21" applyNumberFormat="1" applyFont="1" applyAlignment="1" applyProtection="1">
      <alignment horizontal="center"/>
      <protection/>
    </xf>
    <xf numFmtId="3" fontId="1" fillId="0" borderId="0" xfId="21" applyNumberFormat="1" applyFont="1" applyAlignment="1" applyProtection="1">
      <alignment horizontal="right"/>
      <protection/>
    </xf>
    <xf numFmtId="0" fontId="1" fillId="0" borderId="0" xfId="21" applyFont="1" applyAlignment="1" applyProtection="1">
      <alignment horizontal="center"/>
      <protection/>
    </xf>
    <xf numFmtId="3" fontId="1" fillId="0" borderId="0" xfId="21" applyNumberFormat="1" applyFont="1">
      <alignment/>
      <protection/>
    </xf>
    <xf numFmtId="3" fontId="1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5" fontId="1" fillId="0" borderId="0" xfId="22" applyNumberFormat="1" applyFont="1" applyAlignment="1" applyProtection="1">
      <alignment/>
      <protection/>
    </xf>
    <xf numFmtId="0" fontId="4" fillId="0" borderId="0" xfId="21" applyFont="1" applyAlignment="1">
      <alignment horizontal="right"/>
      <protection/>
    </xf>
    <xf numFmtId="0" fontId="1" fillId="0" borderId="0" xfId="21" applyFont="1" applyAlignment="1">
      <alignment horizontal="right"/>
      <protection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3" fontId="1" fillId="0" borderId="1" xfId="21" applyNumberFormat="1" applyFont="1" applyBorder="1">
      <alignment/>
      <protection/>
    </xf>
    <xf numFmtId="3" fontId="1" fillId="0" borderId="1" xfId="0" applyNumberFormat="1" applyFont="1" applyBorder="1" applyAlignment="1" applyProtection="1">
      <alignment/>
      <protection/>
    </xf>
    <xf numFmtId="0" fontId="2" fillId="0" borderId="0" xfId="21" applyFont="1" applyAlignment="1">
      <alignment horizontal="right"/>
      <protection/>
    </xf>
    <xf numFmtId="165" fontId="1" fillId="0" borderId="0" xfId="21" applyNumberFormat="1" applyFont="1">
      <alignment/>
      <protection/>
    </xf>
    <xf numFmtId="3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1" fillId="0" borderId="2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21" applyFont="1" applyFill="1" applyAlignment="1">
      <alignment horizontal="left"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center"/>
      <protection/>
    </xf>
    <xf numFmtId="0" fontId="4" fillId="0" borderId="0" xfId="21" applyFont="1" applyFill="1" applyAlignment="1" applyProtection="1">
      <alignment horizontal="right"/>
      <protection/>
    </xf>
    <xf numFmtId="3" fontId="1" fillId="2" borderId="0" xfId="0" applyNumberFormat="1" applyFont="1" applyFill="1" applyAlignment="1" applyProtection="1">
      <alignment horizontal="left"/>
      <protection/>
    </xf>
    <xf numFmtId="165" fontId="1" fillId="0" borderId="0" xfId="0" applyNumberFormat="1" applyFont="1" applyFill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Fill="1" applyAlignment="1" applyProtection="1">
      <alignment/>
      <protection locked="0"/>
    </xf>
    <xf numFmtId="165" fontId="1" fillId="0" borderId="0" xfId="22" applyNumberFormat="1" applyFont="1" applyAlignment="1" applyProtection="1">
      <alignment/>
      <protection locked="0"/>
    </xf>
    <xf numFmtId="165" fontId="1" fillId="0" borderId="0" xfId="22" applyNumberFormat="1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 wrapText="1"/>
      <protection locked="0"/>
    </xf>
    <xf numFmtId="165" fontId="1" fillId="0" borderId="0" xfId="0" applyNumberFormat="1" applyFont="1" applyAlignment="1" applyProtection="1">
      <alignment wrapText="1"/>
      <protection locked="0"/>
    </xf>
    <xf numFmtId="2" fontId="1" fillId="0" borderId="0" xfId="0" applyNumberFormat="1" applyFont="1" applyAlignment="1" applyProtection="1">
      <alignment wrapText="1"/>
      <protection locked="0"/>
    </xf>
    <xf numFmtId="165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Fill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left"/>
      <protection/>
    </xf>
    <xf numFmtId="10" fontId="1" fillId="0" borderId="0" xfId="22" applyNumberFormat="1" applyFont="1" applyFill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5" fontId="1" fillId="0" borderId="0" xfId="22" applyNumberFormat="1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Fill="1" applyAlignment="1">
      <alignment horizontal="center"/>
      <protection/>
    </xf>
    <xf numFmtId="3" fontId="1" fillId="0" borderId="0" xfId="21" applyNumberFormat="1" applyFont="1" applyFill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2" fillId="0" borderId="0" xfId="21" applyNumberFormat="1" applyFont="1" applyAlignment="1" applyProtection="1" quotePrefix="1">
      <alignment horizontal="center"/>
      <protection/>
    </xf>
    <xf numFmtId="3" fontId="2" fillId="0" borderId="0" xfId="21" applyNumberFormat="1" applyFont="1" applyAlignment="1" applyProtection="1">
      <alignment horizontal="center"/>
      <protection/>
    </xf>
    <xf numFmtId="10" fontId="1" fillId="0" borderId="0" xfId="22" applyNumberFormat="1" applyFont="1" applyFill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10" fontId="1" fillId="0" borderId="0" xfId="22" applyNumberFormat="1" applyFont="1" applyFill="1" applyAlignment="1">
      <alignment/>
    </xf>
    <xf numFmtId="10" fontId="2" fillId="0" borderId="0" xfId="22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 horizontal="right"/>
    </xf>
    <xf numFmtId="165" fontId="1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166" fontId="8" fillId="2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10" fontId="1" fillId="0" borderId="0" xfId="22" applyNumberFormat="1" applyFont="1" applyAlignment="1">
      <alignment/>
    </xf>
    <xf numFmtId="165" fontId="1" fillId="0" borderId="0" xfId="22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3" fontId="1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Alignment="1" applyProtection="1">
      <alignment/>
      <protection locked="0"/>
    </xf>
    <xf numFmtId="165" fontId="1" fillId="0" borderId="0" xfId="22" applyNumberFormat="1" applyFont="1" applyAlignment="1">
      <alignment/>
    </xf>
    <xf numFmtId="3" fontId="1" fillId="0" borderId="0" xfId="0" applyNumberFormat="1" applyFont="1" applyAlignment="1" applyProtection="1">
      <alignment horizontal="left" indent="4"/>
      <protection locked="0"/>
    </xf>
    <xf numFmtId="0" fontId="1" fillId="0" borderId="0" xfId="0" applyNumberFormat="1" applyFont="1" applyAlignment="1" applyProtection="1">
      <alignment/>
      <protection locked="0"/>
    </xf>
    <xf numFmtId="165" fontId="17" fillId="0" borderId="0" xfId="0" applyNumberFormat="1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Alignment="1" applyProtection="1" quotePrefix="1">
      <alignment horizontal="right"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" fontId="2" fillId="0" borderId="0" xfId="0" applyNumberFormat="1" applyFont="1" applyFill="1" applyAlignment="1">
      <alignment/>
    </xf>
    <xf numFmtId="3" fontId="1" fillId="0" borderId="0" xfId="22" applyNumberFormat="1" applyFont="1" applyFill="1" applyAlignment="1">
      <alignment/>
    </xf>
    <xf numFmtId="3" fontId="1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 quotePrefix="1">
      <alignment horizontal="center"/>
      <protection/>
    </xf>
    <xf numFmtId="3" fontId="18" fillId="0" borderId="0" xfId="0" applyNumberFormat="1" applyFont="1" applyFill="1" applyAlignment="1" applyProtection="1">
      <alignment horizontal="center"/>
      <protection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 applyProtection="1" quotePrefix="1">
      <alignment horizontal="center"/>
      <protection/>
    </xf>
    <xf numFmtId="3" fontId="7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1" fillId="2" borderId="0" xfId="0" applyNumberFormat="1" applyFont="1" applyFill="1" applyAlignment="1" applyProtection="1">
      <alignment/>
      <protection/>
    </xf>
    <xf numFmtId="3" fontId="2" fillId="2" borderId="0" xfId="0" applyNumberFormat="1" applyFont="1" applyFill="1" applyAlignment="1" applyProtection="1">
      <alignment horizontal="center"/>
      <protection/>
    </xf>
    <xf numFmtId="3" fontId="1" fillId="2" borderId="0" xfId="0" applyNumberFormat="1" applyFont="1" applyFill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3" fontId="2" fillId="2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 horizontal="left"/>
    </xf>
    <xf numFmtId="3" fontId="1" fillId="2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right"/>
      <protection/>
    </xf>
    <xf numFmtId="10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65" fontId="1" fillId="0" borderId="0" xfId="22" applyNumberFormat="1" applyFont="1" applyFill="1" applyAlignment="1">
      <alignment/>
    </xf>
    <xf numFmtId="165" fontId="17" fillId="0" borderId="0" xfId="0" applyNumberFormat="1" applyFont="1" applyAlignment="1" applyProtection="1">
      <alignment horizontal="right"/>
      <protection locked="0"/>
    </xf>
    <xf numFmtId="165" fontId="1" fillId="0" borderId="0" xfId="22" applyNumberFormat="1" applyFont="1" applyFill="1" applyAlignment="1" applyProtection="1">
      <alignment horizontal="left"/>
      <protection locked="0"/>
    </xf>
    <xf numFmtId="165" fontId="1" fillId="0" borderId="0" xfId="22" applyNumberFormat="1" applyFont="1" applyAlignment="1" applyProtection="1">
      <alignment horizontal="left"/>
      <protection locked="0"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3" fontId="1" fillId="3" borderId="0" xfId="0" applyNumberFormat="1" applyFont="1" applyFill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 quotePrefix="1">
      <alignment horizontal="center" wrapText="1"/>
    </xf>
    <xf numFmtId="3" fontId="1" fillId="0" borderId="0" xfId="0" applyNumberFormat="1" applyFont="1" applyAlignment="1" quotePrefix="1">
      <alignment/>
    </xf>
    <xf numFmtId="168" fontId="17" fillId="0" borderId="0" xfId="22" applyNumberFormat="1" applyFont="1" applyAlignment="1" applyProtection="1">
      <alignment/>
      <protection locked="0"/>
    </xf>
    <xf numFmtId="168" fontId="1" fillId="0" borderId="0" xfId="22" applyNumberFormat="1" applyFont="1" applyAlignment="1">
      <alignment/>
    </xf>
    <xf numFmtId="168" fontId="1" fillId="0" borderId="0" xfId="22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22" applyNumberFormat="1" applyFont="1" applyFill="1" applyAlignment="1" applyProtection="1">
      <alignment/>
      <protection/>
    </xf>
    <xf numFmtId="3" fontId="2" fillId="0" borderId="0" xfId="22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9" fontId="2" fillId="0" borderId="0" xfId="22" applyFont="1" applyFill="1" applyAlignment="1" applyProtection="1">
      <alignment/>
      <protection/>
    </xf>
    <xf numFmtId="168" fontId="1" fillId="0" borderId="0" xfId="0" applyNumberFormat="1" applyFont="1" applyAlignment="1" applyProtection="1">
      <alignment horizontal="right"/>
      <protection locked="0"/>
    </xf>
    <xf numFmtId="1" fontId="2" fillId="0" borderId="0" xfId="22" applyNumberFormat="1" applyFont="1" applyFill="1" applyAlignment="1" applyProtection="1">
      <alignment/>
      <protection/>
    </xf>
    <xf numFmtId="1" fontId="2" fillId="0" borderId="0" xfId="22" applyNumberFormat="1" applyFont="1" applyAlignment="1" applyProtection="1">
      <alignment/>
      <protection locked="0"/>
    </xf>
    <xf numFmtId="1" fontId="2" fillId="0" borderId="0" xfId="22" applyNumberFormat="1" applyFont="1" applyAlignment="1">
      <alignment/>
    </xf>
    <xf numFmtId="1" fontId="2" fillId="0" borderId="0" xfId="22" applyNumberFormat="1" applyFont="1" applyAlignment="1" applyProtection="1">
      <alignment/>
      <protection/>
    </xf>
    <xf numFmtId="1" fontId="2" fillId="0" borderId="0" xfId="22" applyNumberFormat="1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 horizontal="right" wrapText="1"/>
      <protection locked="0"/>
    </xf>
    <xf numFmtId="0" fontId="1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168" fontId="7" fillId="0" borderId="0" xfId="0" applyNumberFormat="1" applyFont="1" applyAlignment="1" applyProtection="1">
      <alignment horizontal="left"/>
      <protection locked="0"/>
    </xf>
    <xf numFmtId="168" fontId="7" fillId="0" borderId="0" xfId="0" applyNumberFormat="1" applyFont="1" applyFill="1" applyAlignment="1" applyProtection="1">
      <alignment horizontal="left"/>
      <protection locked="0"/>
    </xf>
    <xf numFmtId="3" fontId="10" fillId="0" borderId="0" xfId="0" applyNumberFormat="1" applyFont="1" applyFill="1" applyAlignment="1" applyProtection="1">
      <alignment/>
      <protection/>
    </xf>
    <xf numFmtId="165" fontId="17" fillId="0" borderId="0" xfId="22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3" fontId="7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178" fontId="2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178" fontId="1" fillId="0" borderId="0" xfId="0" applyNumberFormat="1" applyFont="1" applyFill="1" applyAlignment="1">
      <alignment/>
    </xf>
    <xf numFmtId="178" fontId="7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78" fontId="22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178" fontId="1" fillId="0" borderId="0" xfId="0" applyNumberFormat="1" applyFont="1" applyBorder="1" applyAlignment="1">
      <alignment wrapText="1"/>
    </xf>
    <xf numFmtId="178" fontId="24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178" fontId="7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5" fillId="0" borderId="0" xfId="0" applyNumberFormat="1" applyFont="1" applyAlignment="1">
      <alignment horizontal="right"/>
    </xf>
    <xf numFmtId="3" fontId="25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center"/>
    </xf>
    <xf numFmtId="178" fontId="25" fillId="0" borderId="0" xfId="0" applyNumberFormat="1" applyFont="1" applyBorder="1" applyAlignment="1">
      <alignment horizontal="right"/>
    </xf>
    <xf numFmtId="178" fontId="26" fillId="0" borderId="0" xfId="0" applyNumberFormat="1" applyFont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Alignment="1">
      <alignment horizontal="right"/>
    </xf>
    <xf numFmtId="1" fontId="7" fillId="2" borderId="0" xfId="22" applyNumberFormat="1" applyFont="1" applyFill="1" applyAlignment="1" applyProtection="1">
      <alignment horizontal="right"/>
      <protection/>
    </xf>
    <xf numFmtId="1" fontId="7" fillId="2" borderId="0" xfId="0" applyNumberFormat="1" applyFont="1" applyFill="1" applyAlignment="1" applyProtection="1">
      <alignment horizontal="right"/>
      <protection/>
    </xf>
    <xf numFmtId="1" fontId="7" fillId="0" borderId="0" xfId="22" applyNumberFormat="1" applyFont="1" applyFill="1" applyAlignment="1" applyProtection="1">
      <alignment horizontal="right"/>
      <protection/>
    </xf>
    <xf numFmtId="1" fontId="7" fillId="2" borderId="0" xfId="0" applyNumberFormat="1" applyFont="1" applyFill="1" applyAlignment="1" applyProtection="1">
      <alignment horizontal="right" wrapText="1"/>
      <protection/>
    </xf>
    <xf numFmtId="1" fontId="7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Fill="1" applyAlignment="1">
      <alignment horizontal="right"/>
    </xf>
    <xf numFmtId="0" fontId="1" fillId="0" borderId="0" xfId="21" applyFont="1" applyFill="1" applyAlignment="1" applyProtection="1">
      <alignment horizontal="center"/>
      <protection/>
    </xf>
    <xf numFmtId="0" fontId="1" fillId="0" borderId="0" xfId="21" applyFont="1" applyFill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3" fontId="23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 applyProtection="1" quotePrefix="1">
      <alignment horizontal="center"/>
      <protection/>
    </xf>
    <xf numFmtId="170" fontId="1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/>
    </xf>
    <xf numFmtId="3" fontId="28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65" fontId="10" fillId="0" borderId="0" xfId="22" applyNumberFormat="1" applyFont="1" applyFill="1" applyAlignment="1">
      <alignment/>
    </xf>
    <xf numFmtId="165" fontId="32" fillId="0" borderId="0" xfId="22" applyNumberFormat="1" applyFont="1" applyFill="1" applyAlignment="1" applyProtection="1">
      <alignment/>
      <protection locked="0"/>
    </xf>
    <xf numFmtId="165" fontId="10" fillId="0" borderId="0" xfId="22" applyNumberFormat="1" applyFont="1" applyAlignment="1">
      <alignment/>
    </xf>
    <xf numFmtId="165" fontId="10" fillId="0" borderId="0" xfId="22" applyNumberFormat="1" applyFont="1" applyAlignment="1" applyProtection="1">
      <alignment/>
      <protection locked="0"/>
    </xf>
    <xf numFmtId="165" fontId="10" fillId="0" borderId="0" xfId="22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Alignment="1" applyProtection="1">
      <alignment/>
      <protection/>
    </xf>
    <xf numFmtId="3" fontId="16" fillId="0" borderId="0" xfId="21" applyNumberFormat="1" applyFont="1" applyFill="1">
      <alignment/>
      <protection/>
    </xf>
    <xf numFmtId="0" fontId="34" fillId="0" borderId="0" xfId="21" applyFont="1">
      <alignment/>
      <protection/>
    </xf>
    <xf numFmtId="49" fontId="1" fillId="2" borderId="0" xfId="0" applyNumberFormat="1" applyFont="1" applyFill="1" applyAlignment="1" applyProtection="1">
      <alignment horizontal="center"/>
      <protection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3" fontId="1" fillId="2" borderId="0" xfId="0" applyNumberFormat="1" applyFont="1" applyFill="1" applyAlignment="1" applyProtection="1">
      <alignment horizontal="left"/>
      <protection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3" fontId="1" fillId="2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3" fontId="1" fillId="2" borderId="0" xfId="0" applyNumberFormat="1" applyFont="1" applyFill="1" applyBorder="1" applyAlignment="1" applyProtection="1">
      <alignment horizontal="left"/>
      <protection/>
    </xf>
    <xf numFmtId="1" fontId="5" fillId="0" borderId="0" xfId="0" applyNumberFormat="1" applyFont="1" applyFill="1" applyAlignment="1">
      <alignment/>
    </xf>
    <xf numFmtId="0" fontId="1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3" fontId="10" fillId="2" borderId="0" xfId="0" applyNumberFormat="1" applyFont="1" applyFill="1" applyAlignment="1" applyProtection="1">
      <alignment horizontal="right"/>
      <protection/>
    </xf>
    <xf numFmtId="3" fontId="2" fillId="2" borderId="0" xfId="0" applyNumberFormat="1" applyFont="1" applyFill="1" applyAlignment="1" applyProtection="1">
      <alignment horizontal="left"/>
      <protection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3" fontId="11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 wrapText="1"/>
    </xf>
    <xf numFmtId="3" fontId="1" fillId="2" borderId="0" xfId="0" applyNumberFormat="1" applyFont="1" applyFill="1" applyAlignment="1" applyProtection="1">
      <alignment horizontal="center"/>
      <protection/>
    </xf>
    <xf numFmtId="10" fontId="1" fillId="2" borderId="0" xfId="0" applyNumberFormat="1" applyFont="1" applyFill="1" applyAlignment="1" applyProtection="1">
      <alignment horizontal="left"/>
      <protection/>
    </xf>
    <xf numFmtId="3" fontId="1" fillId="2" borderId="0" xfId="0" applyNumberFormat="1" applyFont="1" applyFill="1" applyAlignment="1" applyProtection="1">
      <alignment horizontal="left" vertical="top" wrapText="1"/>
      <protection/>
    </xf>
    <xf numFmtId="3" fontId="1" fillId="2" borderId="0" xfId="0" applyNumberFormat="1" applyFont="1" applyFill="1" applyAlignment="1" applyProtection="1">
      <alignment horizontal="left" wrapText="1"/>
      <protection/>
    </xf>
    <xf numFmtId="3" fontId="2" fillId="2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3" fontId="12" fillId="0" borderId="0" xfId="0" applyNumberFormat="1" applyFont="1" applyFill="1" applyAlignment="1" applyProtection="1">
      <alignment horizontal="center"/>
      <protection/>
    </xf>
    <xf numFmtId="3" fontId="2" fillId="2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68" fontId="29" fillId="0" borderId="0" xfId="0" applyNumberFormat="1" applyFont="1" applyFill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/>
      <protection locked="0"/>
    </xf>
    <xf numFmtId="168" fontId="29" fillId="0" borderId="0" xfId="0" applyNumberFormat="1" applyFont="1" applyFill="1" applyAlignment="1" applyProtection="1">
      <alignment/>
      <protection locked="0"/>
    </xf>
    <xf numFmtId="3" fontId="2" fillId="0" borderId="1" xfId="21" applyNumberFormat="1" applyFont="1" applyBorder="1" applyAlignment="1" applyProtection="1">
      <alignment horizontal="center"/>
      <protection/>
    </xf>
    <xf numFmtId="3" fontId="2" fillId="0" borderId="1" xfId="21" applyNumberFormat="1" applyFont="1" applyBorder="1" applyAlignment="1" applyProtection="1" quotePrefix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 quotePrefix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" fontId="2" fillId="0" borderId="0" xfId="0" applyNumberFormat="1" applyFont="1" applyFill="1" applyBorder="1" applyAlignment="1" applyProtection="1" quotePrefix="1">
      <alignment horizontal="center"/>
      <protection/>
    </xf>
    <xf numFmtId="168" fontId="1" fillId="0" borderId="0" xfId="0" applyNumberFormat="1" applyFont="1" applyFill="1" applyAlignment="1" applyProtection="1">
      <alignment horizontal="center"/>
      <protection locked="0"/>
    </xf>
    <xf numFmtId="168" fontId="7" fillId="0" borderId="0" xfId="0" applyNumberFormat="1" applyFont="1" applyAlignment="1" applyProtection="1">
      <alignment horizontal="center"/>
      <protection locked="0"/>
    </xf>
    <xf numFmtId="168" fontId="29" fillId="0" borderId="0" xfId="0" applyNumberFormat="1" applyFont="1" applyFill="1" applyAlignment="1" applyProtection="1">
      <alignment horizontal="center"/>
      <protection locked="0"/>
    </xf>
    <xf numFmtId="168" fontId="7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165" fontId="1" fillId="0" borderId="0" xfId="22" applyNumberFormat="1" applyFont="1" applyFill="1" applyAlignment="1">
      <alignment horizontal="center"/>
    </xf>
    <xf numFmtId="1" fontId="2" fillId="0" borderId="0" xfId="22" applyNumberFormat="1" applyFont="1" applyFill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/>
    </xf>
    <xf numFmtId="178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3" fontId="1" fillId="0" borderId="0" xfId="0" applyNumberFormat="1" applyFont="1" applyFill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LS81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48.00390625" style="1" customWidth="1"/>
    <col min="3" max="3" width="12.140625" style="1" customWidth="1"/>
    <col min="4" max="4" width="13.28125" style="1" customWidth="1"/>
    <col min="5" max="7" width="9.140625" style="1" customWidth="1"/>
    <col min="9" max="16384" width="9.140625" style="1" customWidth="1"/>
  </cols>
  <sheetData>
    <row r="1" ht="12.75">
      <c r="A1" s="1" t="s">
        <v>299</v>
      </c>
    </row>
    <row r="2" ht="12.75" customHeight="1">
      <c r="A2" s="1" t="s">
        <v>300</v>
      </c>
    </row>
    <row r="3" spans="3:4" ht="12.75" customHeight="1">
      <c r="C3" s="77" t="s">
        <v>303</v>
      </c>
      <c r="D3" s="77" t="s">
        <v>301</v>
      </c>
    </row>
    <row r="4" spans="2:4" ht="12.75" customHeight="1">
      <c r="B4" s="78" t="s">
        <v>304</v>
      </c>
      <c r="C4" s="77"/>
      <c r="D4" s="77" t="s">
        <v>302</v>
      </c>
    </row>
    <row r="5" spans="2:7" ht="15.75" customHeight="1">
      <c r="B5" s="3" t="s">
        <v>0</v>
      </c>
      <c r="C5" s="11">
        <v>5</v>
      </c>
      <c r="D5" s="11">
        <v>15</v>
      </c>
      <c r="G5" s="2"/>
    </row>
    <row r="6" spans="2:7" ht="11.25" customHeight="1">
      <c r="B6" s="3" t="s">
        <v>4</v>
      </c>
      <c r="C6" s="11">
        <v>2</v>
      </c>
      <c r="D6" s="11">
        <v>22</v>
      </c>
      <c r="G6" s="2"/>
    </row>
    <row r="7" spans="2:7" ht="11.25" customHeight="1">
      <c r="B7" s="5" t="s">
        <v>5</v>
      </c>
      <c r="C7" s="74">
        <v>1</v>
      </c>
      <c r="D7" s="74">
        <v>44</v>
      </c>
      <c r="G7" s="2"/>
    </row>
    <row r="8" spans="2:7" ht="11.25" customHeight="1">
      <c r="B8" s="5" t="s">
        <v>241</v>
      </c>
      <c r="C8" s="74">
        <v>1</v>
      </c>
      <c r="D8" s="74">
        <v>43</v>
      </c>
      <c r="G8" s="2"/>
    </row>
    <row r="9" spans="2:7" ht="11.25" customHeight="1">
      <c r="B9" s="3" t="s">
        <v>238</v>
      </c>
      <c r="C9" s="11">
        <v>1</v>
      </c>
      <c r="D9" s="11">
        <v>36</v>
      </c>
      <c r="G9" s="2"/>
    </row>
    <row r="10" spans="2:7" ht="11.25" customHeight="1">
      <c r="B10" s="5" t="s">
        <v>239</v>
      </c>
      <c r="C10" s="74">
        <v>1</v>
      </c>
      <c r="D10" s="11">
        <v>38</v>
      </c>
      <c r="G10" s="2"/>
    </row>
    <row r="11" spans="2:7" ht="11.25" customHeight="1">
      <c r="B11" s="3" t="s">
        <v>240</v>
      </c>
      <c r="C11" s="11">
        <v>1</v>
      </c>
      <c r="D11" s="11">
        <v>30</v>
      </c>
      <c r="G11" s="2"/>
    </row>
    <row r="12" spans="2:7" ht="11.25" customHeight="1">
      <c r="B12" s="5" t="s">
        <v>243</v>
      </c>
      <c r="C12" s="74">
        <v>1</v>
      </c>
      <c r="D12" s="11">
        <v>42</v>
      </c>
      <c r="G12" s="2"/>
    </row>
    <row r="13" spans="2:7" ht="11.25" customHeight="1">
      <c r="B13" s="5" t="s">
        <v>242</v>
      </c>
      <c r="C13" s="74">
        <v>1</v>
      </c>
      <c r="D13" s="11">
        <v>49</v>
      </c>
      <c r="G13" s="2"/>
    </row>
    <row r="14" spans="2:7" ht="11.25" customHeight="1">
      <c r="B14" s="3" t="s">
        <v>9</v>
      </c>
      <c r="C14" s="11">
        <v>4</v>
      </c>
      <c r="D14" s="11">
        <v>9</v>
      </c>
      <c r="G14" s="2"/>
    </row>
    <row r="15" spans="2:7" ht="11.25" customHeight="1">
      <c r="B15" s="3" t="s">
        <v>10</v>
      </c>
      <c r="C15" s="11">
        <v>4</v>
      </c>
      <c r="D15" s="11">
        <v>25</v>
      </c>
      <c r="G15" s="2"/>
    </row>
    <row r="16" spans="2:7" ht="11.25" customHeight="1">
      <c r="B16" s="5" t="s">
        <v>12</v>
      </c>
      <c r="C16" s="74">
        <v>1</v>
      </c>
      <c r="D16" s="11">
        <v>41</v>
      </c>
      <c r="G16" s="2"/>
    </row>
    <row r="17" spans="2:7" ht="11.25" customHeight="1">
      <c r="B17" s="3" t="s">
        <v>13</v>
      </c>
      <c r="C17" s="11">
        <v>2</v>
      </c>
      <c r="D17" s="11">
        <v>23</v>
      </c>
      <c r="G17" s="2"/>
    </row>
    <row r="18" spans="2:7" ht="11.25" customHeight="1">
      <c r="B18" s="3" t="s">
        <v>14</v>
      </c>
      <c r="C18" s="11">
        <v>2</v>
      </c>
      <c r="D18" s="11">
        <v>12</v>
      </c>
      <c r="G18" s="2"/>
    </row>
    <row r="19" spans="2:7" ht="11.25" customHeight="1">
      <c r="B19" s="3" t="s">
        <v>15</v>
      </c>
      <c r="C19" s="11">
        <v>2</v>
      </c>
      <c r="D19" s="11">
        <v>8</v>
      </c>
      <c r="G19" s="2"/>
    </row>
    <row r="20" spans="2:7" ht="11.25" customHeight="1">
      <c r="B20" s="3" t="s">
        <v>16</v>
      </c>
      <c r="C20" s="11">
        <v>1</v>
      </c>
      <c r="D20" s="11">
        <v>34</v>
      </c>
      <c r="G20" s="2"/>
    </row>
    <row r="21" spans="2:7" ht="11.25" customHeight="1">
      <c r="B21" s="3" t="s">
        <v>17</v>
      </c>
      <c r="C21" s="11">
        <v>1</v>
      </c>
      <c r="D21" s="11">
        <v>18</v>
      </c>
      <c r="G21" s="2"/>
    </row>
    <row r="22" spans="2:7" ht="11.25" customHeight="1">
      <c r="B22" s="3" t="s">
        <v>18</v>
      </c>
      <c r="C22" s="11">
        <v>2</v>
      </c>
      <c r="D22" s="11">
        <v>31</v>
      </c>
      <c r="G22" s="2"/>
    </row>
    <row r="23" spans="2:7" ht="11.25" customHeight="1">
      <c r="B23" s="3" t="s">
        <v>19</v>
      </c>
      <c r="C23" s="11">
        <v>1</v>
      </c>
      <c r="D23" s="11">
        <v>33</v>
      </c>
      <c r="G23" s="2"/>
    </row>
    <row r="24" spans="2:7" ht="11.25" customHeight="1">
      <c r="B24" s="3" t="s">
        <v>20</v>
      </c>
      <c r="C24" s="11">
        <v>1</v>
      </c>
      <c r="D24" s="11">
        <v>20</v>
      </c>
      <c r="G24" s="2"/>
    </row>
    <row r="25" spans="2:7" ht="11.25" customHeight="1">
      <c r="B25" s="3" t="s">
        <v>21</v>
      </c>
      <c r="C25" s="11">
        <v>1</v>
      </c>
      <c r="D25" s="11">
        <v>13</v>
      </c>
      <c r="G25" s="2"/>
    </row>
    <row r="26" spans="2:7" ht="11.25" customHeight="1">
      <c r="B26" s="5" t="s">
        <v>22</v>
      </c>
      <c r="C26" s="74">
        <v>1</v>
      </c>
      <c r="D26" s="74">
        <v>39</v>
      </c>
      <c r="G26" s="2"/>
    </row>
    <row r="27" spans="2:7" ht="11.25" customHeight="1">
      <c r="B27" s="5" t="s">
        <v>23</v>
      </c>
      <c r="C27" s="74">
        <v>1</v>
      </c>
      <c r="D27" s="74">
        <v>48</v>
      </c>
      <c r="G27" s="2"/>
    </row>
    <row r="28" spans="2:7" ht="11.25" customHeight="1">
      <c r="B28" s="3" t="s">
        <v>24</v>
      </c>
      <c r="C28" s="11">
        <v>3</v>
      </c>
      <c r="D28" s="11">
        <v>6</v>
      </c>
      <c r="G28" s="2"/>
    </row>
    <row r="29" spans="2:7" ht="11.25" customHeight="1">
      <c r="B29" s="3" t="s">
        <v>25</v>
      </c>
      <c r="C29" s="11">
        <v>2</v>
      </c>
      <c r="D29" s="11">
        <v>32</v>
      </c>
      <c r="G29" s="2"/>
    </row>
    <row r="30" spans="2:7" ht="11.25" customHeight="1">
      <c r="B30" s="3" t="s">
        <v>26</v>
      </c>
      <c r="C30" s="11">
        <v>4</v>
      </c>
      <c r="D30" s="11">
        <v>4</v>
      </c>
      <c r="G30" s="2"/>
    </row>
    <row r="31" spans="2:7" ht="11.25" customHeight="1">
      <c r="B31" s="5" t="s">
        <v>244</v>
      </c>
      <c r="C31" s="75">
        <v>1</v>
      </c>
      <c r="D31" s="74">
        <v>40</v>
      </c>
      <c r="G31" s="2"/>
    </row>
    <row r="32" spans="2:7" ht="11.25" customHeight="1">
      <c r="B32" s="3" t="s">
        <v>245</v>
      </c>
      <c r="C32" s="11">
        <v>1</v>
      </c>
      <c r="D32" s="11">
        <v>24</v>
      </c>
      <c r="G32" s="2"/>
    </row>
    <row r="33" spans="2:7" ht="11.25" customHeight="1">
      <c r="B33" s="5" t="s">
        <v>31</v>
      </c>
      <c r="C33" s="74">
        <v>1</v>
      </c>
      <c r="D33" s="11">
        <v>47</v>
      </c>
      <c r="G33" s="2"/>
    </row>
    <row r="34" spans="2:7" ht="11.25" customHeight="1">
      <c r="B34" s="3" t="s">
        <v>252</v>
      </c>
      <c r="C34" s="11">
        <v>1</v>
      </c>
      <c r="D34" s="74">
        <v>35</v>
      </c>
      <c r="G34" s="2"/>
    </row>
    <row r="35" spans="2:7" ht="11.25" customHeight="1">
      <c r="B35" s="5" t="s">
        <v>246</v>
      </c>
      <c r="C35" s="74">
        <v>1</v>
      </c>
      <c r="D35" s="74">
        <v>51</v>
      </c>
      <c r="G35" s="2"/>
    </row>
    <row r="36" spans="2:7" ht="11.25" customHeight="1">
      <c r="B36" s="3" t="s">
        <v>32</v>
      </c>
      <c r="C36" s="11">
        <v>1</v>
      </c>
      <c r="D36" s="11">
        <v>29</v>
      </c>
      <c r="G36" s="2"/>
    </row>
    <row r="37" spans="2:7" ht="11.25" customHeight="1">
      <c r="B37" s="3" t="s">
        <v>33</v>
      </c>
      <c r="C37" s="11">
        <v>7</v>
      </c>
      <c r="D37" s="11">
        <v>1</v>
      </c>
      <c r="G37" s="2"/>
    </row>
    <row r="38" spans="2:7" ht="11.25" customHeight="1">
      <c r="B38" s="5" t="s">
        <v>34</v>
      </c>
      <c r="C38" s="74">
        <v>5</v>
      </c>
      <c r="D38" s="11">
        <v>27</v>
      </c>
      <c r="G38" s="2"/>
    </row>
    <row r="39" spans="2:7" ht="11.25" customHeight="1">
      <c r="B39" s="5" t="s">
        <v>247</v>
      </c>
      <c r="C39" s="74">
        <v>1</v>
      </c>
      <c r="D39" s="11">
        <v>50</v>
      </c>
      <c r="G39" s="2"/>
    </row>
    <row r="40" spans="2:7" ht="11.25" customHeight="1">
      <c r="B40" s="5" t="s">
        <v>253</v>
      </c>
      <c r="C40" s="74">
        <v>1</v>
      </c>
      <c r="D40" s="11">
        <v>45</v>
      </c>
      <c r="G40" s="2"/>
    </row>
    <row r="41" spans="2:7" ht="11.25" customHeight="1">
      <c r="B41" s="3" t="s">
        <v>35</v>
      </c>
      <c r="C41" s="11">
        <v>1</v>
      </c>
      <c r="D41" s="11">
        <v>26</v>
      </c>
      <c r="G41" s="2"/>
    </row>
    <row r="42" spans="2:7" ht="11.25" customHeight="1">
      <c r="B42" s="3" t="s">
        <v>36</v>
      </c>
      <c r="C42" s="11">
        <v>1</v>
      </c>
      <c r="D42" s="11">
        <v>17</v>
      </c>
      <c r="G42" s="2"/>
    </row>
    <row r="43" spans="2:7" ht="11.25" customHeight="1">
      <c r="B43" s="5" t="s">
        <v>37</v>
      </c>
      <c r="C43" s="74">
        <v>2</v>
      </c>
      <c r="D43" s="11">
        <v>37</v>
      </c>
      <c r="G43" s="2"/>
    </row>
    <row r="44" spans="2:7" ht="11.25" customHeight="1">
      <c r="B44" s="3" t="s">
        <v>38</v>
      </c>
      <c r="C44" s="11">
        <v>2</v>
      </c>
      <c r="D44" s="11">
        <v>16</v>
      </c>
      <c r="G44" s="2"/>
    </row>
    <row r="45" spans="2:7" ht="11.25" customHeight="1">
      <c r="B45" s="3" t="s">
        <v>39</v>
      </c>
      <c r="C45" s="11">
        <v>2</v>
      </c>
      <c r="D45" s="11">
        <v>2</v>
      </c>
      <c r="G45" s="2"/>
    </row>
    <row r="46" spans="2:7" ht="11.25" customHeight="1">
      <c r="B46" s="3" t="s">
        <v>40</v>
      </c>
      <c r="C46" s="11">
        <v>3</v>
      </c>
      <c r="D46" s="11">
        <v>14</v>
      </c>
      <c r="G46" s="2"/>
    </row>
    <row r="47" spans="2:7" ht="11.25" customHeight="1">
      <c r="B47" s="3" t="s">
        <v>41</v>
      </c>
      <c r="C47" s="11">
        <v>3</v>
      </c>
      <c r="D47" s="11">
        <v>19</v>
      </c>
      <c r="G47" s="2"/>
    </row>
    <row r="48" spans="2:7" ht="11.25" customHeight="1">
      <c r="B48" s="3" t="s">
        <v>42</v>
      </c>
      <c r="C48" s="11">
        <v>2</v>
      </c>
      <c r="D48" s="11">
        <v>21</v>
      </c>
      <c r="G48" s="2"/>
    </row>
    <row r="49" spans="2:7" ht="11.25" customHeight="1">
      <c r="B49" s="3" t="s">
        <v>43</v>
      </c>
      <c r="C49" s="11">
        <v>3</v>
      </c>
      <c r="D49" s="11">
        <v>3</v>
      </c>
      <c r="G49" s="2"/>
    </row>
    <row r="50" spans="2:7" ht="11.25" customHeight="1">
      <c r="B50" s="3" t="s">
        <v>44</v>
      </c>
      <c r="C50" s="214">
        <v>3</v>
      </c>
      <c r="D50" s="11">
        <v>10</v>
      </c>
      <c r="G50" s="2"/>
    </row>
    <row r="51" spans="2:7" ht="11.25" customHeight="1">
      <c r="B51" s="5" t="s">
        <v>45</v>
      </c>
      <c r="C51" s="74">
        <v>1</v>
      </c>
      <c r="D51" s="74">
        <v>46</v>
      </c>
      <c r="G51" s="2"/>
    </row>
    <row r="52" spans="2:7" ht="11.25" customHeight="1">
      <c r="B52" s="3" t="s">
        <v>46</v>
      </c>
      <c r="C52" s="11">
        <v>4</v>
      </c>
      <c r="D52" s="11">
        <v>5</v>
      </c>
      <c r="G52" s="2"/>
    </row>
    <row r="53" spans="2:7" ht="11.25" customHeight="1">
      <c r="B53" s="3" t="s">
        <v>47</v>
      </c>
      <c r="C53" s="11">
        <v>3</v>
      </c>
      <c r="D53" s="11">
        <v>11</v>
      </c>
      <c r="G53" s="2"/>
    </row>
    <row r="54" spans="2:7" ht="11.25" customHeight="1">
      <c r="B54" s="5" t="s">
        <v>48</v>
      </c>
      <c r="C54" s="74">
        <v>5</v>
      </c>
      <c r="D54" s="74">
        <v>28</v>
      </c>
      <c r="G54" s="2"/>
    </row>
    <row r="55" spans="2:7" ht="11.25" customHeight="1">
      <c r="B55" s="3" t="s">
        <v>49</v>
      </c>
      <c r="C55" s="11">
        <v>2</v>
      </c>
      <c r="D55" s="11">
        <v>7</v>
      </c>
      <c r="G55" s="2"/>
    </row>
  </sheetData>
  <printOptions/>
  <pageMargins left="0.7480314960629921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Roman,Bold"&amp;14 2.1. ALPHABETICAL ORDER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O206"/>
  <sheetViews>
    <sheetView tabSelected="1" workbookViewId="0" topLeftCell="A1">
      <pane xSplit="1" ySplit="7" topLeftCell="R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21" sqref="Y21"/>
    </sheetView>
  </sheetViews>
  <sheetFormatPr defaultColWidth="9.140625" defaultRowHeight="12.75"/>
  <cols>
    <col min="1" max="1" width="31.8515625" style="14" customWidth="1"/>
    <col min="2" max="2" width="2.140625" style="207" customWidth="1"/>
    <col min="3" max="3" width="11.00390625" style="1" customWidth="1"/>
    <col min="4" max="5" width="9.140625" style="1" customWidth="1"/>
    <col min="6" max="6" width="8.7109375" style="1" customWidth="1"/>
    <col min="7" max="7" width="9.8515625" style="1" customWidth="1"/>
    <col min="8" max="8" width="9.8515625" style="93" customWidth="1"/>
    <col min="9" max="15" width="9.00390625" style="1" customWidth="1"/>
    <col min="16" max="16" width="9.140625" style="1" customWidth="1"/>
    <col min="17" max="23" width="9.00390625" style="1" customWidth="1"/>
    <col min="24" max="24" width="10.7109375" style="1" customWidth="1"/>
    <col min="25" max="25" width="9.00390625" style="1" customWidth="1"/>
    <col min="26" max="26" width="8.7109375" style="1" customWidth="1"/>
    <col min="27" max="27" width="9.421875" style="1" customWidth="1"/>
    <col min="28" max="28" width="9.00390625" style="1" customWidth="1"/>
    <col min="29" max="29" width="10.7109375" style="1" customWidth="1"/>
    <col min="30" max="30" width="9.421875" style="1" customWidth="1"/>
    <col min="31" max="31" width="8.28125" style="1" customWidth="1"/>
    <col min="32" max="32" width="10.421875" style="1" customWidth="1"/>
    <col min="33" max="33" width="9.7109375" style="1" customWidth="1"/>
    <col min="34" max="34" width="12.28125" style="1" customWidth="1"/>
    <col min="35" max="35" width="11.00390625" style="1" customWidth="1"/>
    <col min="36" max="36" width="10.421875" style="1" customWidth="1"/>
    <col min="37" max="37" width="9.8515625" style="1" customWidth="1"/>
    <col min="38" max="38" width="8.7109375" style="93" customWidth="1"/>
    <col min="39" max="39" width="8.8515625" style="93" customWidth="1"/>
    <col min="40" max="40" width="9.57421875" style="93" customWidth="1"/>
    <col min="41" max="43" width="7.8515625" style="1" customWidth="1"/>
    <col min="44" max="44" width="7.7109375" style="1" customWidth="1"/>
    <col min="45" max="45" width="9.00390625" style="1" customWidth="1"/>
    <col min="46" max="46" width="9.8515625" style="1" customWidth="1"/>
    <col min="47" max="47" width="4.140625" style="1" customWidth="1"/>
    <col min="48" max="48" width="10.00390625" style="1" customWidth="1"/>
    <col min="49" max="49" width="6.28125" style="1" customWidth="1"/>
    <col min="50" max="50" width="11.00390625" style="1" customWidth="1"/>
    <col min="51" max="52" width="11.421875" style="1" customWidth="1"/>
    <col min="53" max="16384" width="9.140625" style="1" customWidth="1"/>
  </cols>
  <sheetData>
    <row r="1" spans="1:53" s="42" customFormat="1" ht="12.75">
      <c r="A1" s="114"/>
      <c r="B1" s="205"/>
      <c r="C1" s="281" t="s">
        <v>60</v>
      </c>
      <c r="D1" s="281"/>
      <c r="E1" s="281"/>
      <c r="F1" s="100" t="s">
        <v>60</v>
      </c>
      <c r="G1" s="281" t="s">
        <v>60</v>
      </c>
      <c r="H1" s="281"/>
      <c r="I1" s="281" t="s">
        <v>60</v>
      </c>
      <c r="J1" s="281" t="s">
        <v>60</v>
      </c>
      <c r="K1" s="281" t="s">
        <v>60</v>
      </c>
      <c r="L1" s="281" t="s">
        <v>61</v>
      </c>
      <c r="M1" s="281"/>
      <c r="N1" s="281" t="s">
        <v>60</v>
      </c>
      <c r="O1" s="281" t="s">
        <v>60</v>
      </c>
      <c r="P1" s="100" t="s">
        <v>62</v>
      </c>
      <c r="Q1" s="281" t="s">
        <v>64</v>
      </c>
      <c r="R1" s="281"/>
      <c r="S1" s="281"/>
      <c r="T1" s="281" t="s">
        <v>60</v>
      </c>
      <c r="U1" s="281"/>
      <c r="V1" s="100" t="s">
        <v>63</v>
      </c>
      <c r="W1" s="100" t="s">
        <v>60</v>
      </c>
      <c r="X1" s="100" t="s">
        <v>60</v>
      </c>
      <c r="Y1" s="281" t="s">
        <v>65</v>
      </c>
      <c r="Z1" s="281"/>
      <c r="AA1" s="281"/>
      <c r="AB1" s="281"/>
      <c r="AC1" s="100" t="s">
        <v>60</v>
      </c>
      <c r="AD1" s="281" t="s">
        <v>60</v>
      </c>
      <c r="AE1" s="281"/>
      <c r="AF1" s="100" t="s">
        <v>60</v>
      </c>
      <c r="AG1" s="100" t="s">
        <v>66</v>
      </c>
      <c r="AH1" s="100" t="s">
        <v>60</v>
      </c>
      <c r="AI1" s="281" t="s">
        <v>68</v>
      </c>
      <c r="AJ1" s="281"/>
      <c r="AK1" s="281"/>
      <c r="AL1" s="281" t="s">
        <v>60</v>
      </c>
      <c r="AM1" s="281"/>
      <c r="AN1" s="281"/>
      <c r="AO1" s="281" t="s">
        <v>70</v>
      </c>
      <c r="AP1" s="281"/>
      <c r="AQ1" s="281"/>
      <c r="AR1" s="281"/>
      <c r="AS1" s="100" t="s">
        <v>60</v>
      </c>
      <c r="AT1" s="100" t="s">
        <v>60</v>
      </c>
      <c r="AU1" s="100"/>
      <c r="AV1" s="136" t="s">
        <v>492</v>
      </c>
      <c r="AW1" s="100"/>
      <c r="AX1" s="109"/>
      <c r="AY1" s="109"/>
      <c r="AZ1" s="109"/>
      <c r="BA1" s="109"/>
    </row>
    <row r="2" spans="1:53" s="42" customFormat="1" ht="12.75">
      <c r="A2" s="247" t="s">
        <v>317</v>
      </c>
      <c r="B2" s="205"/>
      <c r="C2" s="281" t="s">
        <v>74</v>
      </c>
      <c r="D2" s="281"/>
      <c r="E2" s="281"/>
      <c r="F2" s="100" t="s">
        <v>73</v>
      </c>
      <c r="G2" s="281" t="s">
        <v>75</v>
      </c>
      <c r="H2" s="281"/>
      <c r="I2" s="281" t="s">
        <v>77</v>
      </c>
      <c r="J2" s="281" t="s">
        <v>77</v>
      </c>
      <c r="K2" s="281" t="s">
        <v>77</v>
      </c>
      <c r="L2" s="281" t="s">
        <v>287</v>
      </c>
      <c r="M2" s="281" t="s">
        <v>76</v>
      </c>
      <c r="N2" s="281" t="s">
        <v>288</v>
      </c>
      <c r="O2" s="281" t="s">
        <v>78</v>
      </c>
      <c r="P2" s="100" t="s">
        <v>76</v>
      </c>
      <c r="Q2" s="281" t="s">
        <v>76</v>
      </c>
      <c r="R2" s="281" t="s">
        <v>76</v>
      </c>
      <c r="S2" s="281" t="s">
        <v>76</v>
      </c>
      <c r="T2" s="281" t="s">
        <v>80</v>
      </c>
      <c r="U2" s="281"/>
      <c r="V2" s="100" t="s">
        <v>76</v>
      </c>
      <c r="W2" s="100" t="s">
        <v>81</v>
      </c>
      <c r="X2" s="100" t="s">
        <v>82</v>
      </c>
      <c r="Y2" s="281" t="s">
        <v>88</v>
      </c>
      <c r="Z2" s="281" t="s">
        <v>88</v>
      </c>
      <c r="AA2" s="281" t="s">
        <v>88</v>
      </c>
      <c r="AB2" s="281" t="s">
        <v>88</v>
      </c>
      <c r="AC2" s="100" t="s">
        <v>86</v>
      </c>
      <c r="AD2" s="281" t="s">
        <v>87</v>
      </c>
      <c r="AE2" s="281" t="s">
        <v>87</v>
      </c>
      <c r="AF2" s="100" t="s">
        <v>90</v>
      </c>
      <c r="AG2" s="100" t="s">
        <v>91</v>
      </c>
      <c r="AH2" s="100" t="s">
        <v>94</v>
      </c>
      <c r="AI2" s="281" t="s">
        <v>76</v>
      </c>
      <c r="AJ2" s="281" t="s">
        <v>76</v>
      </c>
      <c r="AK2" s="281" t="s">
        <v>76</v>
      </c>
      <c r="AL2" s="281" t="s">
        <v>93</v>
      </c>
      <c r="AM2" s="281" t="s">
        <v>93</v>
      </c>
      <c r="AN2" s="281" t="s">
        <v>93</v>
      </c>
      <c r="AO2" s="281" t="s">
        <v>76</v>
      </c>
      <c r="AP2" s="281" t="s">
        <v>76</v>
      </c>
      <c r="AQ2" s="281" t="s">
        <v>76</v>
      </c>
      <c r="AR2" s="281" t="s">
        <v>76</v>
      </c>
      <c r="AS2" s="100" t="s">
        <v>99</v>
      </c>
      <c r="AT2" s="100" t="s">
        <v>104</v>
      </c>
      <c r="AU2" s="100"/>
      <c r="AV2" s="136"/>
      <c r="AW2" s="100"/>
      <c r="AX2" s="109"/>
      <c r="AY2" s="109"/>
      <c r="AZ2" s="109"/>
      <c r="BA2" s="109"/>
    </row>
    <row r="3" spans="1:53" s="42" customFormat="1" ht="12.75">
      <c r="A3" s="252"/>
      <c r="B3" s="205"/>
      <c r="F3" s="100" t="s">
        <v>120</v>
      </c>
      <c r="L3" s="100"/>
      <c r="M3" s="100"/>
      <c r="N3" s="100"/>
      <c r="O3" s="100"/>
      <c r="P3" s="100" t="s">
        <v>119</v>
      </c>
      <c r="Q3" s="281" t="s">
        <v>92</v>
      </c>
      <c r="R3" s="281" t="s">
        <v>92</v>
      </c>
      <c r="S3" s="281" t="s">
        <v>92</v>
      </c>
      <c r="T3" s="281"/>
      <c r="U3" s="281"/>
      <c r="V3" s="100" t="s">
        <v>92</v>
      </c>
      <c r="W3" s="100" t="s">
        <v>118</v>
      </c>
      <c r="X3" s="100" t="s">
        <v>121</v>
      </c>
      <c r="Y3" s="281" t="s">
        <v>260</v>
      </c>
      <c r="Z3" s="281" t="s">
        <v>260</v>
      </c>
      <c r="AA3" s="281" t="s">
        <v>260</v>
      </c>
      <c r="AB3" s="281" t="s">
        <v>260</v>
      </c>
      <c r="AC3" s="100" t="s">
        <v>123</v>
      </c>
      <c r="AD3" s="281" t="s">
        <v>258</v>
      </c>
      <c r="AE3" s="281" t="s">
        <v>258</v>
      </c>
      <c r="AF3" s="100" t="s">
        <v>256</v>
      </c>
      <c r="AG3" s="100" t="s">
        <v>127</v>
      </c>
      <c r="AH3" s="100" t="s">
        <v>129</v>
      </c>
      <c r="AI3" s="281" t="s">
        <v>92</v>
      </c>
      <c r="AJ3" s="281" t="s">
        <v>92</v>
      </c>
      <c r="AK3" s="281" t="s">
        <v>92</v>
      </c>
      <c r="AL3" s="281" t="s">
        <v>136</v>
      </c>
      <c r="AM3" s="281" t="s">
        <v>136</v>
      </c>
      <c r="AN3" s="281" t="s">
        <v>136</v>
      </c>
      <c r="AO3" s="281" t="s">
        <v>92</v>
      </c>
      <c r="AP3" s="281" t="s">
        <v>92</v>
      </c>
      <c r="AQ3" s="281" t="s">
        <v>92</v>
      </c>
      <c r="AR3" s="281" t="s">
        <v>92</v>
      </c>
      <c r="AS3" s="100"/>
      <c r="AT3" s="100" t="s">
        <v>140</v>
      </c>
      <c r="AU3" s="100"/>
      <c r="AW3" s="100"/>
      <c r="AX3" s="109"/>
      <c r="AY3" s="109"/>
      <c r="AZ3" s="109"/>
      <c r="BA3" s="109"/>
    </row>
    <row r="4" spans="1:53" s="105" customFormat="1" ht="12.75">
      <c r="A4" s="265"/>
      <c r="B4" s="205"/>
      <c r="C4" s="284" t="s">
        <v>233</v>
      </c>
      <c r="D4" s="284"/>
      <c r="E4" s="284"/>
      <c r="F4" s="104" t="s">
        <v>151</v>
      </c>
      <c r="G4" s="284" t="s">
        <v>156</v>
      </c>
      <c r="H4" s="284"/>
      <c r="I4" s="284" t="s">
        <v>157</v>
      </c>
      <c r="J4" s="284" t="s">
        <v>157</v>
      </c>
      <c r="K4" s="284" t="s">
        <v>157</v>
      </c>
      <c r="L4" s="284" t="s">
        <v>160</v>
      </c>
      <c r="M4" s="284"/>
      <c r="N4" s="284" t="s">
        <v>161</v>
      </c>
      <c r="O4" s="284" t="s">
        <v>161</v>
      </c>
      <c r="P4" s="104" t="s">
        <v>162</v>
      </c>
      <c r="Q4" s="281" t="s">
        <v>164</v>
      </c>
      <c r="R4" s="281" t="s">
        <v>164</v>
      </c>
      <c r="S4" s="281" t="s">
        <v>164</v>
      </c>
      <c r="T4" s="281" t="s">
        <v>165</v>
      </c>
      <c r="U4" s="281" t="s">
        <v>165</v>
      </c>
      <c r="V4" s="104" t="s">
        <v>166</v>
      </c>
      <c r="W4" s="104" t="s">
        <v>167</v>
      </c>
      <c r="X4" s="104" t="s">
        <v>169</v>
      </c>
      <c r="Y4" s="281" t="s">
        <v>170</v>
      </c>
      <c r="Z4" s="281"/>
      <c r="AA4" s="281"/>
      <c r="AB4" s="281" t="s">
        <v>170</v>
      </c>
      <c r="AC4" s="104" t="s">
        <v>171</v>
      </c>
      <c r="AD4" s="281" t="s">
        <v>174</v>
      </c>
      <c r="AE4" s="281" t="s">
        <v>174</v>
      </c>
      <c r="AF4" s="104" t="s">
        <v>176</v>
      </c>
      <c r="AG4" s="104" t="s">
        <v>177</v>
      </c>
      <c r="AH4" s="104" t="s">
        <v>178</v>
      </c>
      <c r="AI4" s="281" t="s">
        <v>180</v>
      </c>
      <c r="AJ4" s="281" t="s">
        <v>180</v>
      </c>
      <c r="AK4" s="281" t="s">
        <v>180</v>
      </c>
      <c r="AL4" s="281" t="s">
        <v>182</v>
      </c>
      <c r="AM4" s="281" t="s">
        <v>182</v>
      </c>
      <c r="AN4" s="281" t="s">
        <v>182</v>
      </c>
      <c r="AO4" s="281" t="s">
        <v>183</v>
      </c>
      <c r="AP4" s="281" t="s">
        <v>183</v>
      </c>
      <c r="AQ4" s="281" t="s">
        <v>183</v>
      </c>
      <c r="AR4" s="281" t="s">
        <v>183</v>
      </c>
      <c r="AS4" s="104" t="s">
        <v>187</v>
      </c>
      <c r="AT4" s="104" t="s">
        <v>194</v>
      </c>
      <c r="AU4" s="100"/>
      <c r="AW4" s="100"/>
      <c r="AX4" s="100"/>
      <c r="AY4" s="100"/>
      <c r="AZ4" s="100"/>
      <c r="BA4" s="100"/>
    </row>
    <row r="5" spans="1:53" s="46" customFormat="1" ht="12.75">
      <c r="A5" s="252"/>
      <c r="B5" s="205"/>
      <c r="C5" s="47" t="s">
        <v>274</v>
      </c>
      <c r="D5" s="47" t="s">
        <v>275</v>
      </c>
      <c r="E5" s="47" t="s">
        <v>276</v>
      </c>
      <c r="F5" s="47"/>
      <c r="G5" s="47" t="s">
        <v>296</v>
      </c>
      <c r="H5" s="47" t="s">
        <v>296</v>
      </c>
      <c r="I5" s="47" t="s">
        <v>265</v>
      </c>
      <c r="J5" s="47" t="s">
        <v>266</v>
      </c>
      <c r="K5" s="47" t="s">
        <v>267</v>
      </c>
      <c r="L5" s="47" t="s">
        <v>234</v>
      </c>
      <c r="M5" s="47" t="s">
        <v>235</v>
      </c>
      <c r="N5" s="47" t="s">
        <v>237</v>
      </c>
      <c r="O5" s="47" t="s">
        <v>236</v>
      </c>
      <c r="P5" s="47"/>
      <c r="Q5" s="47" t="s">
        <v>265</v>
      </c>
      <c r="R5" s="47" t="s">
        <v>266</v>
      </c>
      <c r="S5" s="47" t="s">
        <v>267</v>
      </c>
      <c r="T5" s="47" t="s">
        <v>265</v>
      </c>
      <c r="U5" s="47" t="s">
        <v>266</v>
      </c>
      <c r="V5" s="47"/>
      <c r="W5" s="47"/>
      <c r="X5" s="47"/>
      <c r="Y5" s="47" t="s">
        <v>230</v>
      </c>
      <c r="Z5" s="47" t="s">
        <v>231</v>
      </c>
      <c r="AA5" s="47" t="s">
        <v>232</v>
      </c>
      <c r="AB5" s="47" t="s">
        <v>268</v>
      </c>
      <c r="AC5" s="47"/>
      <c r="AD5" s="47" t="s">
        <v>237</v>
      </c>
      <c r="AE5" s="47" t="s">
        <v>236</v>
      </c>
      <c r="AF5" s="47"/>
      <c r="AG5" s="47"/>
      <c r="AH5" s="47"/>
      <c r="AI5" s="47" t="s">
        <v>218</v>
      </c>
      <c r="AJ5" s="47" t="s">
        <v>219</v>
      </c>
      <c r="AK5" s="47" t="s">
        <v>220</v>
      </c>
      <c r="AL5" s="47" t="s">
        <v>269</v>
      </c>
      <c r="AM5" s="47" t="s">
        <v>270</v>
      </c>
      <c r="AN5" s="47" t="s">
        <v>271</v>
      </c>
      <c r="AO5" s="47" t="s">
        <v>215</v>
      </c>
      <c r="AP5" s="47" t="s">
        <v>216</v>
      </c>
      <c r="AQ5" s="47" t="s">
        <v>217</v>
      </c>
      <c r="AR5" s="47" t="s">
        <v>70</v>
      </c>
      <c r="AS5" s="47"/>
      <c r="AT5" s="47"/>
      <c r="AU5" s="112"/>
      <c r="AV5" s="221" t="s">
        <v>502</v>
      </c>
      <c r="AW5" s="47"/>
      <c r="AX5" s="47"/>
      <c r="AY5" s="113"/>
      <c r="AZ5" s="113"/>
      <c r="BA5" s="47"/>
    </row>
    <row r="6" spans="2:53" s="46" customFormat="1" ht="11.25">
      <c r="B6" s="206"/>
      <c r="F6" s="47"/>
      <c r="G6" s="221" t="s">
        <v>295</v>
      </c>
      <c r="H6" s="221" t="s">
        <v>297</v>
      </c>
      <c r="P6" s="47"/>
      <c r="V6" s="47"/>
      <c r="W6" s="47"/>
      <c r="X6" s="47"/>
      <c r="Y6" s="47"/>
      <c r="Z6" s="47"/>
      <c r="AA6" s="47"/>
      <c r="AB6" s="47"/>
      <c r="AC6" s="47"/>
      <c r="AF6" s="47"/>
      <c r="AG6" s="47"/>
      <c r="AH6" s="47"/>
      <c r="AR6" s="221" t="s">
        <v>294</v>
      </c>
      <c r="AS6" s="47"/>
      <c r="AT6" s="47"/>
      <c r="AU6" s="35"/>
      <c r="AW6" s="35"/>
      <c r="AX6" s="35"/>
      <c r="AY6" s="35"/>
      <c r="AZ6" s="35"/>
      <c r="BA6" s="35"/>
    </row>
    <row r="7" spans="2:45" s="70" customFormat="1" ht="11.25">
      <c r="B7" s="207"/>
      <c r="H7" s="71"/>
      <c r="AL7" s="71"/>
      <c r="AM7" s="71"/>
      <c r="AN7" s="71"/>
      <c r="AS7" s="71"/>
    </row>
    <row r="8" spans="1:53" ht="12.75">
      <c r="A8" s="248" t="s">
        <v>450</v>
      </c>
      <c r="B8" s="205">
        <v>1</v>
      </c>
      <c r="C8" s="237">
        <v>-0.1034</v>
      </c>
      <c r="D8" s="237">
        <v>0.0822</v>
      </c>
      <c r="E8" s="237">
        <v>0.0667</v>
      </c>
      <c r="F8" s="96">
        <f>+F70</f>
        <v>-0.027140627818163288</v>
      </c>
      <c r="G8" s="236">
        <v>0.0729</v>
      </c>
      <c r="H8" s="236">
        <v>0.093</v>
      </c>
      <c r="I8" s="238">
        <f>+I70</f>
        <v>-0.06166969889014651</v>
      </c>
      <c r="J8" s="236">
        <v>0.0075</v>
      </c>
      <c r="K8" s="238">
        <v>0.028</v>
      </c>
      <c r="L8" s="238">
        <v>-0.095</v>
      </c>
      <c r="M8" s="238">
        <v>0.07</v>
      </c>
      <c r="N8" s="236">
        <v>0.0794</v>
      </c>
      <c r="O8" s="236">
        <v>0.0559</v>
      </c>
      <c r="P8" s="96">
        <f>+P70</f>
        <v>-0.011820772788861289</v>
      </c>
      <c r="Q8" s="238">
        <v>-0.096</v>
      </c>
      <c r="R8" s="238">
        <v>0.018</v>
      </c>
      <c r="S8" s="238">
        <v>0.066</v>
      </c>
      <c r="T8" s="238">
        <v>-0.098</v>
      </c>
      <c r="U8" s="238">
        <v>0.07</v>
      </c>
      <c r="V8" s="96">
        <f>+V70</f>
        <v>0.0077744146155744875</v>
      </c>
      <c r="W8" s="96"/>
      <c r="X8" s="96">
        <f>+X70</f>
        <v>0.068113732661234</v>
      </c>
      <c r="Y8" s="238">
        <v>-0.113</v>
      </c>
      <c r="Z8" s="238">
        <v>-0.069</v>
      </c>
      <c r="AA8" s="238">
        <v>0.022</v>
      </c>
      <c r="AB8" s="236">
        <v>0.047</v>
      </c>
      <c r="AC8" s="96">
        <f>+AC70</f>
        <v>0.05308536468910097</v>
      </c>
      <c r="AD8" s="96">
        <f>+AD70</f>
        <v>0.056578849663700304</v>
      </c>
      <c r="AE8" s="96">
        <f>+AE70</f>
        <v>0.011633505902060248</v>
      </c>
      <c r="AF8" s="239">
        <v>-0.04</v>
      </c>
      <c r="AG8" s="96">
        <f>+AG70</f>
        <v>-0.04140412059726206</v>
      </c>
      <c r="AH8" s="238">
        <v>-0.0688</v>
      </c>
      <c r="AI8" s="238">
        <v>-0.0365</v>
      </c>
      <c r="AJ8" s="238">
        <v>0.0023</v>
      </c>
      <c r="AK8" s="238">
        <v>0.0445</v>
      </c>
      <c r="AL8" s="127">
        <f>+AL70</f>
        <v>-0.07597034150156012</v>
      </c>
      <c r="AM8" s="127">
        <f>+AM70</f>
        <v>0.06725985174317128</v>
      </c>
      <c r="AN8" s="127">
        <f>+AN70</f>
        <v>0.03925628222303423</v>
      </c>
      <c r="AO8" s="239">
        <v>0.019</v>
      </c>
      <c r="AP8" s="239">
        <v>-0.0371</v>
      </c>
      <c r="AQ8" s="239">
        <v>-0.1013</v>
      </c>
      <c r="AR8" s="240">
        <v>0.0636</v>
      </c>
      <c r="AS8" s="83"/>
      <c r="AT8" s="96">
        <f>+AT70</f>
        <v>0.03708089001226145</v>
      </c>
      <c r="AU8" s="90"/>
      <c r="AV8" s="96">
        <f>+AV70</f>
        <v>-0.06311494832349751</v>
      </c>
      <c r="AW8" s="72"/>
      <c r="AX8" s="81"/>
      <c r="AY8" s="72"/>
      <c r="AZ8" s="117"/>
      <c r="BA8" s="117"/>
    </row>
    <row r="9" spans="1:53" s="96" customFormat="1" ht="12.75">
      <c r="A9" s="248" t="s">
        <v>472</v>
      </c>
      <c r="B9" s="208">
        <v>2</v>
      </c>
      <c r="C9" s="163">
        <v>-0.0255</v>
      </c>
      <c r="D9" s="163"/>
      <c r="E9" s="163"/>
      <c r="F9" s="56"/>
      <c r="G9" s="56"/>
      <c r="H9" s="57"/>
      <c r="I9" s="96">
        <v>-0.0306</v>
      </c>
      <c r="J9" s="56"/>
      <c r="K9" s="56"/>
      <c r="L9" s="56">
        <v>0.02</v>
      </c>
      <c r="M9" s="56">
        <v>0</v>
      </c>
      <c r="N9" s="57">
        <v>0.0779</v>
      </c>
      <c r="O9" s="57">
        <v>0.0867</v>
      </c>
      <c r="P9" s="56">
        <v>0.0459</v>
      </c>
      <c r="Q9" s="57"/>
      <c r="R9" s="57"/>
      <c r="S9" s="57"/>
      <c r="T9" s="56">
        <v>0.025</v>
      </c>
      <c r="U9" s="56">
        <v>0.068</v>
      </c>
      <c r="V9" s="56"/>
      <c r="W9" s="56"/>
      <c r="X9" s="56">
        <v>-0.0125</v>
      </c>
      <c r="Y9" s="56">
        <v>-0.021</v>
      </c>
      <c r="Z9" s="56">
        <v>0.012</v>
      </c>
      <c r="AA9" s="56">
        <v>0.027</v>
      </c>
      <c r="AB9" s="56">
        <v>0.047</v>
      </c>
      <c r="AC9" s="56">
        <v>0.041</v>
      </c>
      <c r="AD9" s="56"/>
      <c r="AE9" s="56"/>
      <c r="AF9" s="56">
        <v>0.026</v>
      </c>
      <c r="AG9" s="56"/>
      <c r="AH9" s="56">
        <v>0.0145</v>
      </c>
      <c r="AI9" s="56">
        <v>0.0699</v>
      </c>
      <c r="AJ9" s="56">
        <v>0.0622</v>
      </c>
      <c r="AK9" s="56"/>
      <c r="AL9" s="291">
        <v>0.0123</v>
      </c>
      <c r="AM9" s="291"/>
      <c r="AN9" s="291"/>
      <c r="AO9" s="56">
        <v>0.0444</v>
      </c>
      <c r="AP9" s="56">
        <v>0.037</v>
      </c>
      <c r="AQ9" s="56">
        <v>0.0268</v>
      </c>
      <c r="AR9" s="56"/>
      <c r="AS9" s="56"/>
      <c r="AT9" s="56">
        <v>0.0293</v>
      </c>
      <c r="AV9" s="56"/>
      <c r="AW9" s="56"/>
      <c r="AX9" s="15"/>
      <c r="AY9" s="15"/>
      <c r="AZ9" s="56"/>
      <c r="BA9" s="56"/>
    </row>
    <row r="10" spans="1:61" ht="12.75">
      <c r="A10" s="266" t="s">
        <v>451</v>
      </c>
      <c r="B10" s="209"/>
      <c r="C10" s="150">
        <v>72.3</v>
      </c>
      <c r="D10" s="150">
        <v>95.4</v>
      </c>
      <c r="E10" s="150">
        <v>0</v>
      </c>
      <c r="F10" s="54"/>
      <c r="G10" s="54">
        <v>33.55</v>
      </c>
      <c r="H10" s="55">
        <v>19.8</v>
      </c>
      <c r="I10" s="54">
        <v>89.5</v>
      </c>
      <c r="J10" s="54">
        <v>100</v>
      </c>
      <c r="K10" s="54">
        <v>0</v>
      </c>
      <c r="L10" s="54">
        <v>35</v>
      </c>
      <c r="M10" s="54">
        <v>0</v>
      </c>
      <c r="N10" s="54">
        <v>27</v>
      </c>
      <c r="O10" s="54">
        <v>32</v>
      </c>
      <c r="P10" s="54">
        <v>25.02</v>
      </c>
      <c r="Q10" s="54">
        <v>43.4</v>
      </c>
      <c r="R10" s="54">
        <v>100</v>
      </c>
      <c r="S10" s="54">
        <v>0</v>
      </c>
      <c r="T10" s="54">
        <v>35</v>
      </c>
      <c r="U10" s="54">
        <v>0</v>
      </c>
      <c r="V10" s="54">
        <v>23.4</v>
      </c>
      <c r="W10" s="54">
        <v>100</v>
      </c>
      <c r="X10" s="54">
        <v>36</v>
      </c>
      <c r="Y10" s="54">
        <v>82.4</v>
      </c>
      <c r="Z10" s="54">
        <v>90.2</v>
      </c>
      <c r="AA10" s="54">
        <v>88.7</v>
      </c>
      <c r="AB10" s="54">
        <v>0</v>
      </c>
      <c r="AC10" s="54">
        <v>33.4</v>
      </c>
      <c r="AD10" s="54">
        <v>18.14</v>
      </c>
      <c r="AE10" s="54">
        <v>33.35</v>
      </c>
      <c r="AF10" s="54">
        <v>16.1</v>
      </c>
      <c r="AG10" s="54"/>
      <c r="AH10" s="54">
        <v>77.35</v>
      </c>
      <c r="AI10" s="54">
        <v>93.21</v>
      </c>
      <c r="AJ10" s="54">
        <v>93.09</v>
      </c>
      <c r="AK10" s="54">
        <v>90.93</v>
      </c>
      <c r="AL10" s="286">
        <v>75.46</v>
      </c>
      <c r="AM10" s="286"/>
      <c r="AN10" s="286"/>
      <c r="AO10" s="54">
        <v>21.95</v>
      </c>
      <c r="AP10" s="54">
        <v>35.11</v>
      </c>
      <c r="AQ10" s="54">
        <v>50.98</v>
      </c>
      <c r="AR10" s="54">
        <v>0</v>
      </c>
      <c r="AS10" s="54">
        <v>70.67</v>
      </c>
      <c r="AT10" s="95">
        <v>86.07</v>
      </c>
      <c r="AV10" s="72">
        <f aca="true" t="shared" si="0" ref="AV10:AV15">+AV86/$AV$92</f>
        <v>0.6302986211126675</v>
      </c>
      <c r="AW10" s="68"/>
      <c r="AX10" s="72"/>
      <c r="AY10" s="72"/>
      <c r="AZ10" s="54"/>
      <c r="BA10" s="54"/>
      <c r="BB10" s="54"/>
      <c r="BC10" s="54"/>
      <c r="BD10" s="54"/>
      <c r="BE10" s="54"/>
      <c r="BF10" s="54"/>
      <c r="BG10" s="54"/>
      <c r="BH10" s="54"/>
      <c r="BI10" s="54"/>
    </row>
    <row r="11" spans="1:61" ht="12.75">
      <c r="A11" s="248" t="s">
        <v>452</v>
      </c>
      <c r="B11" s="209"/>
      <c r="C11" s="150">
        <v>26.6</v>
      </c>
      <c r="D11" s="150">
        <v>4.6</v>
      </c>
      <c r="E11" s="150">
        <v>0</v>
      </c>
      <c r="F11" s="54"/>
      <c r="G11" s="54">
        <v>66.45</v>
      </c>
      <c r="H11" s="55">
        <v>80.2</v>
      </c>
      <c r="I11" s="54">
        <v>10.5</v>
      </c>
      <c r="J11" s="54">
        <v>0</v>
      </c>
      <c r="K11" s="54">
        <v>0</v>
      </c>
      <c r="L11" s="54">
        <v>37.43</v>
      </c>
      <c r="M11" s="54">
        <v>57.98</v>
      </c>
      <c r="N11" s="54">
        <v>65</v>
      </c>
      <c r="O11" s="54">
        <v>60</v>
      </c>
      <c r="P11" s="54">
        <v>74.98</v>
      </c>
      <c r="Q11" s="54">
        <v>47.6</v>
      </c>
      <c r="R11" s="54">
        <v>0</v>
      </c>
      <c r="S11" s="54">
        <v>0</v>
      </c>
      <c r="T11" s="54">
        <v>65</v>
      </c>
      <c r="U11" s="54">
        <v>100</v>
      </c>
      <c r="V11" s="54">
        <v>42.5</v>
      </c>
      <c r="W11" s="54">
        <v>0</v>
      </c>
      <c r="X11" s="54">
        <v>64</v>
      </c>
      <c r="Y11" s="54">
        <v>12.2</v>
      </c>
      <c r="Z11" s="54">
        <v>3.3</v>
      </c>
      <c r="AA11" s="54">
        <v>4</v>
      </c>
      <c r="AB11" s="54">
        <v>0</v>
      </c>
      <c r="AC11" s="54">
        <v>66.3</v>
      </c>
      <c r="AD11" s="54">
        <v>81.86</v>
      </c>
      <c r="AE11" s="54">
        <v>66.65</v>
      </c>
      <c r="AF11" s="54">
        <v>83.8</v>
      </c>
      <c r="AG11" s="54"/>
      <c r="AH11" s="54">
        <v>5.01</v>
      </c>
      <c r="AI11" s="54">
        <v>6.79</v>
      </c>
      <c r="AJ11" s="54">
        <v>6.65</v>
      </c>
      <c r="AK11" s="54">
        <v>8.51</v>
      </c>
      <c r="AL11" s="286">
        <v>24.54</v>
      </c>
      <c r="AM11" s="286"/>
      <c r="AN11" s="286"/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95">
        <v>4.95</v>
      </c>
      <c r="AV11" s="72">
        <f t="shared" si="0"/>
        <v>0.21705316247815645</v>
      </c>
      <c r="AW11" s="68"/>
      <c r="AX11" s="72"/>
      <c r="AY11" s="72"/>
      <c r="AZ11" s="54"/>
      <c r="BA11" s="54"/>
      <c r="BB11" s="54"/>
      <c r="BC11" s="54"/>
      <c r="BD11" s="54"/>
      <c r="BE11" s="54"/>
      <c r="BF11" s="54"/>
      <c r="BG11" s="54"/>
      <c r="BH11" s="54"/>
      <c r="BI11" s="54"/>
    </row>
    <row r="12" spans="1:61" ht="12.75">
      <c r="A12" s="248" t="s">
        <v>453</v>
      </c>
      <c r="B12" s="209"/>
      <c r="C12" s="150">
        <v>1.1</v>
      </c>
      <c r="D12" s="150">
        <v>0</v>
      </c>
      <c r="E12" s="150">
        <v>0</v>
      </c>
      <c r="F12" s="54"/>
      <c r="G12" s="54">
        <v>0</v>
      </c>
      <c r="H12" s="55">
        <v>0</v>
      </c>
      <c r="I12" s="54">
        <v>0</v>
      </c>
      <c r="J12" s="54">
        <v>0</v>
      </c>
      <c r="K12" s="54">
        <v>0</v>
      </c>
      <c r="L12" s="54">
        <v>0.425</v>
      </c>
      <c r="M12" s="54">
        <v>0</v>
      </c>
      <c r="N12" s="54">
        <v>0</v>
      </c>
      <c r="O12" s="54">
        <v>0</v>
      </c>
      <c r="P12" s="54">
        <v>0</v>
      </c>
      <c r="Q12" s="54">
        <v>0.7</v>
      </c>
      <c r="R12" s="54">
        <v>0</v>
      </c>
      <c r="S12" s="54">
        <v>0</v>
      </c>
      <c r="T12" s="54">
        <v>0</v>
      </c>
      <c r="U12" s="54">
        <v>0</v>
      </c>
      <c r="V12" s="54">
        <v>4.5</v>
      </c>
      <c r="W12" s="54">
        <v>0</v>
      </c>
      <c r="X12" s="54">
        <v>0</v>
      </c>
      <c r="Y12" s="54">
        <v>0.2</v>
      </c>
      <c r="Z12" s="54">
        <v>0.1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/>
      <c r="AH12" s="54">
        <v>0.11</v>
      </c>
      <c r="AI12" s="54">
        <v>0</v>
      </c>
      <c r="AJ12" s="54">
        <v>0</v>
      </c>
      <c r="AK12" s="54">
        <v>0</v>
      </c>
      <c r="AL12" s="286">
        <v>0</v>
      </c>
      <c r="AM12" s="286"/>
      <c r="AN12" s="286"/>
      <c r="AO12" s="55">
        <v>78.05</v>
      </c>
      <c r="AP12" s="55">
        <v>64.89</v>
      </c>
      <c r="AQ12" s="55">
        <v>49.02</v>
      </c>
      <c r="AR12" s="54">
        <v>0</v>
      </c>
      <c r="AS12" s="54">
        <v>0</v>
      </c>
      <c r="AT12" s="95">
        <v>0</v>
      </c>
      <c r="AV12" s="72">
        <f t="shared" si="0"/>
        <v>0.045160181659573896</v>
      </c>
      <c r="AW12" s="68"/>
      <c r="AX12" s="72"/>
      <c r="AY12" s="72"/>
      <c r="AZ12" s="54"/>
      <c r="BA12" s="54"/>
      <c r="BB12" s="54"/>
      <c r="BC12" s="54"/>
      <c r="BD12" s="54"/>
      <c r="BE12" s="54"/>
      <c r="BF12" s="54"/>
      <c r="BG12" s="54"/>
      <c r="BH12" s="54"/>
      <c r="BI12" s="54"/>
    </row>
    <row r="13" spans="1:61" ht="12.75">
      <c r="A13" s="248" t="s">
        <v>454</v>
      </c>
      <c r="B13" s="209"/>
      <c r="C13" s="150">
        <v>0</v>
      </c>
      <c r="D13" s="150">
        <v>0</v>
      </c>
      <c r="E13" s="150">
        <v>0</v>
      </c>
      <c r="F13" s="54"/>
      <c r="G13" s="54">
        <v>0</v>
      </c>
      <c r="H13" s="55">
        <v>0</v>
      </c>
      <c r="I13" s="54">
        <v>0</v>
      </c>
      <c r="J13" s="54">
        <v>0</v>
      </c>
      <c r="K13" s="54">
        <v>0</v>
      </c>
      <c r="L13" s="54">
        <v>8.071</v>
      </c>
      <c r="M13" s="54">
        <v>12.5</v>
      </c>
      <c r="N13" s="54">
        <v>0</v>
      </c>
      <c r="O13" s="54">
        <v>0</v>
      </c>
      <c r="P13" s="54">
        <v>0</v>
      </c>
      <c r="Q13" s="54">
        <v>7</v>
      </c>
      <c r="R13" s="54">
        <v>0</v>
      </c>
      <c r="S13" s="54">
        <v>0</v>
      </c>
      <c r="T13" s="54">
        <v>0</v>
      </c>
      <c r="U13" s="54">
        <v>0</v>
      </c>
      <c r="V13" s="54">
        <v>3.9</v>
      </c>
      <c r="W13" s="54">
        <v>0</v>
      </c>
      <c r="X13" s="54">
        <v>0</v>
      </c>
      <c r="Y13" s="54">
        <v>1.9</v>
      </c>
      <c r="Z13" s="54">
        <v>2.4</v>
      </c>
      <c r="AA13" s="54">
        <v>2.5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/>
      <c r="AH13" s="54">
        <v>4.63</v>
      </c>
      <c r="AI13" s="54">
        <v>0</v>
      </c>
      <c r="AJ13" s="54">
        <v>0.26</v>
      </c>
      <c r="AK13" s="54">
        <v>0.56</v>
      </c>
      <c r="AL13" s="286">
        <v>0</v>
      </c>
      <c r="AM13" s="286"/>
      <c r="AN13" s="286"/>
      <c r="AO13" s="55">
        <v>0</v>
      </c>
      <c r="AP13" s="55">
        <v>0</v>
      </c>
      <c r="AQ13" s="55">
        <v>0</v>
      </c>
      <c r="AR13" s="54">
        <v>0</v>
      </c>
      <c r="AS13" s="54">
        <v>0</v>
      </c>
      <c r="AT13" s="95">
        <v>1.71</v>
      </c>
      <c r="AV13" s="72">
        <f t="shared" si="0"/>
        <v>0.03449804344350355</v>
      </c>
      <c r="AW13" s="68"/>
      <c r="AX13" s="72"/>
      <c r="AY13" s="72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1:61" ht="12.75">
      <c r="A14" s="248" t="s">
        <v>455</v>
      </c>
      <c r="B14" s="209"/>
      <c r="C14" s="150">
        <v>0</v>
      </c>
      <c r="D14" s="150">
        <v>0</v>
      </c>
      <c r="E14" s="150">
        <v>0</v>
      </c>
      <c r="F14" s="54"/>
      <c r="G14" s="54">
        <v>0</v>
      </c>
      <c r="H14" s="55">
        <v>0</v>
      </c>
      <c r="I14" s="54">
        <v>0</v>
      </c>
      <c r="J14" s="54">
        <v>0</v>
      </c>
      <c r="K14" s="54">
        <v>0</v>
      </c>
      <c r="L14" s="54">
        <v>19.06</v>
      </c>
      <c r="M14" s="54">
        <v>29.52</v>
      </c>
      <c r="N14" s="54">
        <v>0</v>
      </c>
      <c r="O14" s="54">
        <v>0</v>
      </c>
      <c r="P14" s="54">
        <v>0</v>
      </c>
      <c r="Q14" s="54">
        <v>1.3</v>
      </c>
      <c r="R14" s="54">
        <v>0</v>
      </c>
      <c r="S14" s="54">
        <v>0</v>
      </c>
      <c r="T14" s="54">
        <v>0</v>
      </c>
      <c r="U14" s="54">
        <v>0</v>
      </c>
      <c r="V14" s="54">
        <v>24.2</v>
      </c>
      <c r="W14" s="54">
        <v>0</v>
      </c>
      <c r="X14" s="54">
        <v>0</v>
      </c>
      <c r="Y14" s="54">
        <v>3.3</v>
      </c>
      <c r="Z14" s="54">
        <v>4</v>
      </c>
      <c r="AA14" s="54">
        <v>4.8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/>
      <c r="AH14" s="54">
        <v>12.9</v>
      </c>
      <c r="AI14" s="54">
        <v>0</v>
      </c>
      <c r="AJ14" s="54">
        <v>0</v>
      </c>
      <c r="AK14" s="54">
        <v>0</v>
      </c>
      <c r="AL14" s="286">
        <v>0</v>
      </c>
      <c r="AM14" s="286"/>
      <c r="AN14" s="286"/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95">
        <v>7.27</v>
      </c>
      <c r="AV14" s="72">
        <f t="shared" si="0"/>
        <v>0.0333610514336758</v>
      </c>
      <c r="AW14" s="68"/>
      <c r="AX14" s="72"/>
      <c r="AY14" s="72"/>
      <c r="AZ14" s="54"/>
      <c r="BA14" s="54"/>
      <c r="BB14" s="54"/>
      <c r="BC14" s="54"/>
      <c r="BD14" s="54"/>
      <c r="BE14" s="54"/>
      <c r="BF14" s="54"/>
      <c r="BG14" s="54"/>
      <c r="BH14" s="54"/>
      <c r="BI14" s="54"/>
    </row>
    <row r="15" spans="1:61" ht="12.75">
      <c r="A15" s="248" t="s">
        <v>456</v>
      </c>
      <c r="B15" s="209"/>
      <c r="C15" s="150">
        <v>0</v>
      </c>
      <c r="D15" s="150">
        <v>0</v>
      </c>
      <c r="E15" s="150">
        <v>100</v>
      </c>
      <c r="F15" s="54"/>
      <c r="G15" s="54">
        <v>0</v>
      </c>
      <c r="H15" s="55">
        <v>0</v>
      </c>
      <c r="I15" s="54">
        <v>0</v>
      </c>
      <c r="J15" s="54">
        <v>0</v>
      </c>
      <c r="K15" s="54">
        <v>100</v>
      </c>
      <c r="L15" s="54">
        <v>0</v>
      </c>
      <c r="M15" s="54">
        <v>0</v>
      </c>
      <c r="N15" s="54">
        <v>8</v>
      </c>
      <c r="O15" s="54">
        <v>8</v>
      </c>
      <c r="P15" s="13">
        <v>0</v>
      </c>
      <c r="Q15" s="13">
        <v>0</v>
      </c>
      <c r="R15" s="13">
        <v>0</v>
      </c>
      <c r="S15" s="54">
        <v>100</v>
      </c>
      <c r="T15" s="54">
        <v>0</v>
      </c>
      <c r="U15" s="54">
        <v>0</v>
      </c>
      <c r="V15" s="54">
        <v>1.5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100</v>
      </c>
      <c r="AC15" s="54">
        <v>0.3</v>
      </c>
      <c r="AD15" s="54">
        <v>0</v>
      </c>
      <c r="AE15" s="54">
        <v>0</v>
      </c>
      <c r="AF15" s="54">
        <v>0.1</v>
      </c>
      <c r="AG15" s="54"/>
      <c r="AH15" s="54">
        <v>0</v>
      </c>
      <c r="AI15" s="54">
        <v>0</v>
      </c>
      <c r="AJ15" s="54">
        <v>0</v>
      </c>
      <c r="AK15" s="54">
        <v>0</v>
      </c>
      <c r="AL15" s="286">
        <v>0</v>
      </c>
      <c r="AM15" s="286"/>
      <c r="AN15" s="286"/>
      <c r="AO15" s="54">
        <v>0</v>
      </c>
      <c r="AP15" s="54">
        <v>0</v>
      </c>
      <c r="AQ15" s="54">
        <v>0</v>
      </c>
      <c r="AR15" s="54">
        <v>100</v>
      </c>
      <c r="AS15" s="54">
        <v>29.33</v>
      </c>
      <c r="AT15" s="54">
        <v>0</v>
      </c>
      <c r="AV15" s="72">
        <f t="shared" si="0"/>
        <v>0.039628939872422816</v>
      </c>
      <c r="AW15" s="69"/>
      <c r="AX15" s="72"/>
      <c r="AY15" s="72"/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spans="1:53" s="153" customFormat="1" ht="12.75">
      <c r="A16" s="269" t="s">
        <v>457</v>
      </c>
      <c r="B16" s="210">
        <v>3</v>
      </c>
      <c r="C16" s="152">
        <f>SUM(C10:C15)</f>
        <v>100</v>
      </c>
      <c r="D16" s="152">
        <f aca="true" t="shared" si="1" ref="D16:N16">SUM(D10:D15)</f>
        <v>100</v>
      </c>
      <c r="E16" s="152">
        <f t="shared" si="1"/>
        <v>100</v>
      </c>
      <c r="F16" s="152">
        <f t="shared" si="1"/>
        <v>0</v>
      </c>
      <c r="G16" s="152">
        <f t="shared" si="1"/>
        <v>100</v>
      </c>
      <c r="H16" s="155">
        <f t="shared" si="1"/>
        <v>100</v>
      </c>
      <c r="I16" s="152">
        <f t="shared" si="1"/>
        <v>100</v>
      </c>
      <c r="J16" s="152">
        <f t="shared" si="1"/>
        <v>100</v>
      </c>
      <c r="K16" s="152">
        <f t="shared" si="1"/>
        <v>100</v>
      </c>
      <c r="L16" s="152">
        <f t="shared" si="1"/>
        <v>99.986</v>
      </c>
      <c r="M16" s="152">
        <f t="shared" si="1"/>
        <v>99.99999999999999</v>
      </c>
      <c r="N16" s="152">
        <f t="shared" si="1"/>
        <v>100</v>
      </c>
      <c r="O16" s="152">
        <f aca="true" t="shared" si="2" ref="O16:AT16">SUM(O10:O15)</f>
        <v>100</v>
      </c>
      <c r="P16" s="152">
        <f t="shared" si="2"/>
        <v>100</v>
      </c>
      <c r="Q16" s="152">
        <f t="shared" si="2"/>
        <v>100</v>
      </c>
      <c r="R16" s="152">
        <f t="shared" si="2"/>
        <v>100</v>
      </c>
      <c r="S16" s="152">
        <f t="shared" si="2"/>
        <v>100</v>
      </c>
      <c r="T16" s="152">
        <f t="shared" si="2"/>
        <v>100</v>
      </c>
      <c r="U16" s="152">
        <f t="shared" si="2"/>
        <v>100</v>
      </c>
      <c r="V16" s="152">
        <f t="shared" si="2"/>
        <v>100.00000000000001</v>
      </c>
      <c r="W16" s="152">
        <f t="shared" si="2"/>
        <v>100</v>
      </c>
      <c r="X16" s="152">
        <f t="shared" si="2"/>
        <v>100</v>
      </c>
      <c r="Y16" s="152">
        <f t="shared" si="2"/>
        <v>100.00000000000001</v>
      </c>
      <c r="Z16" s="152">
        <f t="shared" si="2"/>
        <v>100</v>
      </c>
      <c r="AA16" s="152">
        <f t="shared" si="2"/>
        <v>100</v>
      </c>
      <c r="AB16" s="152">
        <f t="shared" si="2"/>
        <v>100</v>
      </c>
      <c r="AC16" s="152">
        <f t="shared" si="2"/>
        <v>99.99999999999999</v>
      </c>
      <c r="AD16" s="152">
        <f t="shared" si="2"/>
        <v>100</v>
      </c>
      <c r="AE16" s="152">
        <f t="shared" si="2"/>
        <v>100</v>
      </c>
      <c r="AF16" s="152">
        <f t="shared" si="2"/>
        <v>100</v>
      </c>
      <c r="AG16" s="152">
        <f t="shared" si="2"/>
        <v>0</v>
      </c>
      <c r="AH16" s="152">
        <f t="shared" si="2"/>
        <v>100</v>
      </c>
      <c r="AI16" s="152">
        <f t="shared" si="2"/>
        <v>100</v>
      </c>
      <c r="AJ16" s="152">
        <f t="shared" si="2"/>
        <v>100.00000000000001</v>
      </c>
      <c r="AK16" s="152">
        <f t="shared" si="2"/>
        <v>100.00000000000001</v>
      </c>
      <c r="AL16" s="292">
        <f t="shared" si="2"/>
        <v>100</v>
      </c>
      <c r="AM16" s="292"/>
      <c r="AN16" s="292"/>
      <c r="AO16" s="152">
        <f t="shared" si="2"/>
        <v>100</v>
      </c>
      <c r="AP16" s="152">
        <f t="shared" si="2"/>
        <v>100</v>
      </c>
      <c r="AQ16" s="152">
        <f t="shared" si="2"/>
        <v>100</v>
      </c>
      <c r="AR16" s="152">
        <f t="shared" si="2"/>
        <v>100</v>
      </c>
      <c r="AS16" s="152">
        <f t="shared" si="2"/>
        <v>100</v>
      </c>
      <c r="AT16" s="152">
        <f t="shared" si="2"/>
        <v>99.99999999999999</v>
      </c>
      <c r="AV16" s="149">
        <f>SUM(AV10:AV15)</f>
        <v>1.0000000000000002</v>
      </c>
      <c r="AW16" s="151"/>
      <c r="AX16" s="151"/>
      <c r="AY16" s="151"/>
      <c r="AZ16" s="152"/>
      <c r="BA16" s="154"/>
    </row>
    <row r="17" spans="1:58" ht="12.75">
      <c r="A17" s="266" t="s">
        <v>458</v>
      </c>
      <c r="B17" s="209"/>
      <c r="C17" s="150">
        <v>68.2</v>
      </c>
      <c r="D17" s="150">
        <v>91.2</v>
      </c>
      <c r="E17" s="150">
        <v>100</v>
      </c>
      <c r="F17" s="54"/>
      <c r="G17" s="54">
        <v>93.1</v>
      </c>
      <c r="H17" s="55">
        <v>95.1</v>
      </c>
      <c r="I17" s="54">
        <v>71</v>
      </c>
      <c r="J17" s="54">
        <v>90</v>
      </c>
      <c r="K17" s="54">
        <v>100</v>
      </c>
      <c r="L17" s="54">
        <v>65</v>
      </c>
      <c r="M17" s="54">
        <v>100</v>
      </c>
      <c r="N17" s="54">
        <v>87</v>
      </c>
      <c r="O17" s="54">
        <v>88</v>
      </c>
      <c r="P17" s="54">
        <v>83.65</v>
      </c>
      <c r="Q17" s="54">
        <v>67</v>
      </c>
      <c r="R17" s="54">
        <v>89.6</v>
      </c>
      <c r="S17" s="54">
        <v>100</v>
      </c>
      <c r="T17" s="54">
        <v>65</v>
      </c>
      <c r="U17" s="54">
        <v>100</v>
      </c>
      <c r="V17" s="54">
        <v>97.9</v>
      </c>
      <c r="W17" s="54">
        <v>90.35</v>
      </c>
      <c r="X17" s="54">
        <v>84.1</v>
      </c>
      <c r="Y17" s="54">
        <v>68.4</v>
      </c>
      <c r="Z17" s="54">
        <v>68.4</v>
      </c>
      <c r="AA17" s="54">
        <v>86.4</v>
      </c>
      <c r="AB17" s="54">
        <v>100</v>
      </c>
      <c r="AC17" s="54">
        <v>100</v>
      </c>
      <c r="AD17" s="54">
        <v>91.85</v>
      </c>
      <c r="AE17" s="54">
        <v>85.06</v>
      </c>
      <c r="AF17" s="54">
        <v>92.3</v>
      </c>
      <c r="AG17" s="54"/>
      <c r="AH17" s="54">
        <v>74.3</v>
      </c>
      <c r="AI17" s="54">
        <v>71.09</v>
      </c>
      <c r="AJ17" s="54">
        <v>81.69</v>
      </c>
      <c r="AK17" s="54">
        <v>91.84</v>
      </c>
      <c r="AL17" s="286">
        <v>81.18</v>
      </c>
      <c r="AM17" s="286"/>
      <c r="AN17" s="286"/>
      <c r="AO17" s="54">
        <v>83.34</v>
      </c>
      <c r="AP17" s="54">
        <v>72.95</v>
      </c>
      <c r="AQ17" s="54">
        <v>57.62</v>
      </c>
      <c r="AR17" s="54">
        <v>100</v>
      </c>
      <c r="AS17" s="54">
        <v>100</v>
      </c>
      <c r="AT17" s="54">
        <v>90.22</v>
      </c>
      <c r="AV17" s="72">
        <f>+AV97/$AV$99</f>
        <v>0.7340375466729895</v>
      </c>
      <c r="AW17" s="72"/>
      <c r="AX17" s="72"/>
      <c r="AY17" s="72"/>
      <c r="AZ17" s="54"/>
      <c r="BA17" s="54"/>
      <c r="BB17" s="54"/>
      <c r="BC17" s="54"/>
      <c r="BD17" s="54"/>
      <c r="BE17" s="54"/>
      <c r="BF17" s="54"/>
    </row>
    <row r="18" spans="1:58" ht="12.75">
      <c r="A18" s="248" t="s">
        <v>459</v>
      </c>
      <c r="B18" s="209"/>
      <c r="C18" s="150">
        <v>31.8</v>
      </c>
      <c r="D18" s="150">
        <v>8.8</v>
      </c>
      <c r="E18" s="150"/>
      <c r="F18" s="54"/>
      <c r="G18" s="54">
        <v>6.9</v>
      </c>
      <c r="H18" s="55">
        <v>4.9</v>
      </c>
      <c r="I18" s="54">
        <v>29</v>
      </c>
      <c r="J18" s="54">
        <v>10</v>
      </c>
      <c r="K18" s="54">
        <v>0</v>
      </c>
      <c r="L18" s="54">
        <v>35</v>
      </c>
      <c r="M18" s="54">
        <v>0</v>
      </c>
      <c r="N18" s="54">
        <v>13</v>
      </c>
      <c r="O18" s="54">
        <v>12</v>
      </c>
      <c r="P18" s="13">
        <v>16.35</v>
      </c>
      <c r="Q18" s="54">
        <v>33</v>
      </c>
      <c r="R18" s="54">
        <v>10.4</v>
      </c>
      <c r="S18" s="54">
        <v>0</v>
      </c>
      <c r="T18" s="54">
        <v>35</v>
      </c>
      <c r="U18" s="54">
        <v>0</v>
      </c>
      <c r="V18" s="54">
        <v>2.1</v>
      </c>
      <c r="W18" s="54">
        <v>9.65</v>
      </c>
      <c r="X18" s="54">
        <v>15.9</v>
      </c>
      <c r="Y18" s="54">
        <v>31.6</v>
      </c>
      <c r="Z18" s="54">
        <v>31.6</v>
      </c>
      <c r="AA18" s="54">
        <v>13.6</v>
      </c>
      <c r="AB18" s="54">
        <v>0</v>
      </c>
      <c r="AC18" s="54">
        <v>0</v>
      </c>
      <c r="AD18" s="54">
        <v>8.15</v>
      </c>
      <c r="AE18" s="54">
        <v>14.94</v>
      </c>
      <c r="AF18" s="54">
        <v>7.7</v>
      </c>
      <c r="AG18" s="54"/>
      <c r="AH18" s="54">
        <v>25.7</v>
      </c>
      <c r="AI18" s="54">
        <v>28.91</v>
      </c>
      <c r="AJ18" s="54">
        <v>18.31</v>
      </c>
      <c r="AK18" s="54">
        <v>8.16</v>
      </c>
      <c r="AL18" s="286">
        <v>18.82</v>
      </c>
      <c r="AM18" s="286"/>
      <c r="AN18" s="286"/>
      <c r="AO18" s="54">
        <v>16.66</v>
      </c>
      <c r="AP18" s="54">
        <v>27.05</v>
      </c>
      <c r="AQ18" s="54">
        <v>42.38</v>
      </c>
      <c r="AR18" s="54">
        <v>0</v>
      </c>
      <c r="AS18" s="54">
        <v>0</v>
      </c>
      <c r="AT18" s="54">
        <v>9.78</v>
      </c>
      <c r="AV18" s="72">
        <f>+AV98/$AV$99</f>
        <v>0.2659624533270105</v>
      </c>
      <c r="AW18" s="72"/>
      <c r="AX18" s="72"/>
      <c r="AY18" s="72"/>
      <c r="AZ18" s="54"/>
      <c r="BA18" s="54"/>
      <c r="BB18" s="54"/>
      <c r="BC18" s="54"/>
      <c r="BD18" s="54"/>
      <c r="BE18" s="54"/>
      <c r="BF18" s="54"/>
    </row>
    <row r="19" spans="1:53" s="153" customFormat="1" ht="12.75">
      <c r="A19" s="269" t="s">
        <v>457</v>
      </c>
      <c r="B19" s="210">
        <v>4</v>
      </c>
      <c r="C19" s="152">
        <f>SUM(C17:C18)</f>
        <v>100</v>
      </c>
      <c r="D19" s="152">
        <f>SUM(D17:D18)</f>
        <v>100</v>
      </c>
      <c r="E19" s="152">
        <f>SUM(E17:E18)</f>
        <v>100</v>
      </c>
      <c r="F19" s="152">
        <f aca="true" t="shared" si="3" ref="F19:P19">SUM(F17:F18)</f>
        <v>0</v>
      </c>
      <c r="G19" s="152">
        <f t="shared" si="3"/>
        <v>100</v>
      </c>
      <c r="H19" s="155">
        <f t="shared" si="3"/>
        <v>100</v>
      </c>
      <c r="I19" s="152">
        <f>SUM(I17:I18)</f>
        <v>100</v>
      </c>
      <c r="J19" s="152">
        <f>SUM(J17:J18)</f>
        <v>100</v>
      </c>
      <c r="K19" s="152">
        <f>SUM(K17:K18)</f>
        <v>100</v>
      </c>
      <c r="L19" s="152">
        <f t="shared" si="3"/>
        <v>100</v>
      </c>
      <c r="M19" s="152">
        <f t="shared" si="3"/>
        <v>100</v>
      </c>
      <c r="N19" s="152">
        <f t="shared" si="3"/>
        <v>100</v>
      </c>
      <c r="O19" s="152">
        <f t="shared" si="3"/>
        <v>100</v>
      </c>
      <c r="P19" s="152">
        <f t="shared" si="3"/>
        <v>100</v>
      </c>
      <c r="Q19" s="152">
        <f>SUM(Q17:Q18)</f>
        <v>100</v>
      </c>
      <c r="R19" s="152">
        <f>SUM(R17:R18)</f>
        <v>100</v>
      </c>
      <c r="S19" s="152">
        <f>SUM(S17:S18)</f>
        <v>100</v>
      </c>
      <c r="T19" s="152">
        <f aca="true" t="shared" si="4" ref="T19:AF19">SUM(T17:T18)</f>
        <v>100</v>
      </c>
      <c r="U19" s="152">
        <f t="shared" si="4"/>
        <v>100</v>
      </c>
      <c r="V19" s="152">
        <f>SUM(V17:V18)</f>
        <v>100</v>
      </c>
      <c r="W19" s="152">
        <f t="shared" si="4"/>
        <v>100</v>
      </c>
      <c r="X19" s="152">
        <f t="shared" si="4"/>
        <v>100</v>
      </c>
      <c r="Y19" s="152">
        <f t="shared" si="4"/>
        <v>100</v>
      </c>
      <c r="Z19" s="152">
        <f t="shared" si="4"/>
        <v>100</v>
      </c>
      <c r="AA19" s="152">
        <f t="shared" si="4"/>
        <v>100</v>
      </c>
      <c r="AB19" s="152">
        <f t="shared" si="4"/>
        <v>100</v>
      </c>
      <c r="AC19" s="152">
        <f>SUM(AC17:AC18)</f>
        <v>100</v>
      </c>
      <c r="AD19" s="152">
        <f t="shared" si="4"/>
        <v>100</v>
      </c>
      <c r="AE19" s="152">
        <f t="shared" si="4"/>
        <v>100</v>
      </c>
      <c r="AF19" s="152">
        <f t="shared" si="4"/>
        <v>100</v>
      </c>
      <c r="AG19" s="152">
        <f>SUM(AG17:AG18)</f>
        <v>0</v>
      </c>
      <c r="AH19" s="152">
        <f>SUM(AH17:AH18)</f>
        <v>100</v>
      </c>
      <c r="AI19" s="152">
        <f aca="true" t="shared" si="5" ref="AI19:AR19">SUM(AI17:AI18)</f>
        <v>100</v>
      </c>
      <c r="AJ19" s="152">
        <f t="shared" si="5"/>
        <v>100</v>
      </c>
      <c r="AK19" s="152">
        <f t="shared" si="5"/>
        <v>100</v>
      </c>
      <c r="AL19" s="155">
        <f t="shared" si="5"/>
        <v>100</v>
      </c>
      <c r="AM19" s="155">
        <f>SUM(AM17:AM18)</f>
        <v>0</v>
      </c>
      <c r="AN19" s="155">
        <f>SUM(AN17:AN18)</f>
        <v>0</v>
      </c>
      <c r="AO19" s="152">
        <f t="shared" si="5"/>
        <v>100</v>
      </c>
      <c r="AP19" s="152">
        <f t="shared" si="5"/>
        <v>100</v>
      </c>
      <c r="AQ19" s="152">
        <f t="shared" si="5"/>
        <v>100</v>
      </c>
      <c r="AR19" s="152">
        <f t="shared" si="5"/>
        <v>100</v>
      </c>
      <c r="AS19" s="152">
        <f>SUM(AS17:AS18)</f>
        <v>100</v>
      </c>
      <c r="AT19" s="152">
        <f>SUM(AT17:AT18)</f>
        <v>100</v>
      </c>
      <c r="AV19" s="149">
        <f>SUM(AV17:AV18)</f>
        <v>1</v>
      </c>
      <c r="AW19" s="151"/>
      <c r="AX19" s="151"/>
      <c r="AY19" s="151"/>
      <c r="AZ19" s="152"/>
      <c r="BA19" s="154"/>
    </row>
    <row r="20" spans="1:53" s="89" customFormat="1" ht="12.75">
      <c r="A20" s="248" t="s">
        <v>460</v>
      </c>
      <c r="B20" s="209">
        <v>5</v>
      </c>
      <c r="C20" s="53">
        <v>3195</v>
      </c>
      <c r="D20" s="53">
        <v>379</v>
      </c>
      <c r="E20" s="53">
        <v>138</v>
      </c>
      <c r="F20" s="53">
        <v>6645</v>
      </c>
      <c r="G20" s="53">
        <v>402</v>
      </c>
      <c r="H20" s="30">
        <v>4513</v>
      </c>
      <c r="I20" s="53">
        <v>1560</v>
      </c>
      <c r="J20" s="53">
        <v>88</v>
      </c>
      <c r="K20" s="53">
        <v>28</v>
      </c>
      <c r="L20" s="53">
        <v>1455</v>
      </c>
      <c r="M20" s="53">
        <v>3533</v>
      </c>
      <c r="N20" s="53">
        <v>1023</v>
      </c>
      <c r="O20" s="53">
        <v>5615</v>
      </c>
      <c r="P20" s="53">
        <v>2124</v>
      </c>
      <c r="Q20" s="53">
        <v>8512</v>
      </c>
      <c r="R20" s="53">
        <v>291</v>
      </c>
      <c r="S20" s="53">
        <v>530</v>
      </c>
      <c r="T20" s="53"/>
      <c r="U20" s="53"/>
      <c r="V20" s="53">
        <v>2457</v>
      </c>
      <c r="W20" s="53">
        <v>1884</v>
      </c>
      <c r="X20" s="53">
        <v>935</v>
      </c>
      <c r="Y20" s="297">
        <v>6471</v>
      </c>
      <c r="Z20" s="297"/>
      <c r="AA20" s="297"/>
      <c r="AB20" s="297"/>
      <c r="AC20" s="53">
        <v>491</v>
      </c>
      <c r="AD20" s="53">
        <v>65</v>
      </c>
      <c r="AE20" s="53">
        <v>334</v>
      </c>
      <c r="AF20" s="53">
        <v>590</v>
      </c>
      <c r="AG20" s="53">
        <v>4</v>
      </c>
      <c r="AH20" s="53">
        <v>957</v>
      </c>
      <c r="AI20" s="53">
        <v>2993</v>
      </c>
      <c r="AJ20" s="53">
        <v>1640</v>
      </c>
      <c r="AK20" s="53">
        <v>183</v>
      </c>
      <c r="AL20" s="30"/>
      <c r="AM20" s="30"/>
      <c r="AN20" s="30"/>
      <c r="AO20" s="53">
        <v>233</v>
      </c>
      <c r="AP20" s="53">
        <v>1504</v>
      </c>
      <c r="AQ20" s="53">
        <v>1366</v>
      </c>
      <c r="AR20" s="53">
        <v>3</v>
      </c>
      <c r="AS20" s="53">
        <v>80</v>
      </c>
      <c r="AT20" s="53">
        <v>304</v>
      </c>
      <c r="AV20" s="29">
        <f>SUM(C20:AU20)</f>
        <v>62525</v>
      </c>
      <c r="AW20" s="29"/>
      <c r="AX20" s="29"/>
      <c r="AY20" s="29"/>
      <c r="AZ20" s="53"/>
      <c r="BA20" s="53"/>
    </row>
    <row r="21" spans="1:53" s="89" customFormat="1" ht="12.75" customHeight="1">
      <c r="A21" s="248" t="s">
        <v>461</v>
      </c>
      <c r="B21" s="209">
        <v>6</v>
      </c>
      <c r="C21" s="53">
        <v>5.4</v>
      </c>
      <c r="D21" s="53">
        <v>0.1</v>
      </c>
      <c r="E21" s="53">
        <v>0.2</v>
      </c>
      <c r="F21" s="53">
        <v>5</v>
      </c>
      <c r="G21" s="53">
        <v>3</v>
      </c>
      <c r="H21" s="30">
        <v>4</v>
      </c>
      <c r="I21" s="53">
        <v>2</v>
      </c>
      <c r="J21" s="53">
        <v>0</v>
      </c>
      <c r="K21" s="53">
        <v>0</v>
      </c>
      <c r="L21" s="53">
        <v>4</v>
      </c>
      <c r="M21" s="53">
        <v>21</v>
      </c>
      <c r="N21" s="53">
        <v>2.4</v>
      </c>
      <c r="O21" s="53">
        <v>0.4</v>
      </c>
      <c r="P21" s="89">
        <v>3</v>
      </c>
      <c r="Q21" s="53">
        <v>417</v>
      </c>
      <c r="R21" s="53">
        <v>6</v>
      </c>
      <c r="S21" s="53">
        <v>59</v>
      </c>
      <c r="T21" s="53"/>
      <c r="U21" s="53"/>
      <c r="V21" s="53">
        <v>13</v>
      </c>
      <c r="W21" s="53">
        <v>0</v>
      </c>
      <c r="X21" s="53">
        <v>0</v>
      </c>
      <c r="Y21" s="30">
        <v>34</v>
      </c>
      <c r="Z21" s="30">
        <v>165</v>
      </c>
      <c r="AA21" s="30">
        <v>86</v>
      </c>
      <c r="AB21" s="30">
        <v>4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45</v>
      </c>
      <c r="AI21" s="53">
        <v>4</v>
      </c>
      <c r="AJ21" s="53">
        <v>11</v>
      </c>
      <c r="AK21" s="53">
        <v>44</v>
      </c>
      <c r="AL21" s="30"/>
      <c r="AM21" s="30"/>
      <c r="AN21" s="30"/>
      <c r="AO21" s="53">
        <v>10</v>
      </c>
      <c r="AP21" s="53">
        <v>2</v>
      </c>
      <c r="AQ21" s="53">
        <v>2</v>
      </c>
      <c r="AR21" s="53">
        <v>0</v>
      </c>
      <c r="AS21" s="53">
        <v>0</v>
      </c>
      <c r="AT21" s="53">
        <v>17</v>
      </c>
      <c r="AV21" s="29">
        <f>SUM(C21:AU21)</f>
        <v>969.5</v>
      </c>
      <c r="AW21" s="29"/>
      <c r="AX21" s="29"/>
      <c r="AY21" s="29"/>
      <c r="AZ21" s="53"/>
      <c r="BA21" s="53"/>
    </row>
    <row r="22" spans="1:53" ht="17.25" customHeight="1">
      <c r="A22" s="248" t="s">
        <v>462</v>
      </c>
      <c r="B22" s="209"/>
      <c r="C22" s="142">
        <v>99</v>
      </c>
      <c r="D22" s="142">
        <v>100</v>
      </c>
      <c r="E22" s="142">
        <v>100</v>
      </c>
      <c r="F22" s="54"/>
      <c r="G22" s="54"/>
      <c r="H22" s="55"/>
      <c r="I22" s="54">
        <v>100</v>
      </c>
      <c r="J22" s="54">
        <v>0</v>
      </c>
      <c r="K22" s="54">
        <v>0</v>
      </c>
      <c r="L22" s="54">
        <v>100</v>
      </c>
      <c r="M22" s="54">
        <v>100</v>
      </c>
      <c r="N22" s="54">
        <v>91.6</v>
      </c>
      <c r="O22" s="54">
        <v>0</v>
      </c>
      <c r="P22" s="54">
        <v>100</v>
      </c>
      <c r="Q22" s="54">
        <v>80.53</v>
      </c>
      <c r="R22" s="54">
        <v>100</v>
      </c>
      <c r="S22" s="54">
        <v>97.01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58.1</v>
      </c>
      <c r="AJ22" s="54">
        <v>80.5</v>
      </c>
      <c r="AK22" s="54">
        <v>99.7</v>
      </c>
      <c r="AL22" s="286">
        <v>100</v>
      </c>
      <c r="AM22" s="286"/>
      <c r="AN22" s="286"/>
      <c r="AO22" s="54">
        <v>99.07</v>
      </c>
      <c r="AP22" s="54">
        <v>54.1</v>
      </c>
      <c r="AQ22" s="54">
        <v>100</v>
      </c>
      <c r="AR22" s="54">
        <v>0</v>
      </c>
      <c r="AS22" s="54">
        <v>0</v>
      </c>
      <c r="AT22" s="54">
        <v>85.86</v>
      </c>
      <c r="AV22" s="72">
        <f>+AV75/$AV$80</f>
        <v>0.5852392911845768</v>
      </c>
      <c r="AW22" s="29"/>
      <c r="AX22" s="72"/>
      <c r="AY22" s="72"/>
      <c r="AZ22" s="54"/>
      <c r="BA22" s="54"/>
    </row>
    <row r="23" spans="1:53" ht="12.75">
      <c r="A23" s="248" t="s">
        <v>463</v>
      </c>
      <c r="B23" s="209"/>
      <c r="C23" s="142">
        <v>0.6</v>
      </c>
      <c r="D23" s="142">
        <v>0</v>
      </c>
      <c r="E23" s="142">
        <v>0</v>
      </c>
      <c r="F23" s="142"/>
      <c r="G23" s="142"/>
      <c r="H23" s="55"/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5.5</v>
      </c>
      <c r="O23" s="54">
        <v>96.8</v>
      </c>
      <c r="P23" s="54">
        <v>0</v>
      </c>
      <c r="Q23" s="54">
        <v>3.01</v>
      </c>
      <c r="R23" s="54">
        <v>0</v>
      </c>
      <c r="S23" s="54">
        <v>0.27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1.6</v>
      </c>
      <c r="AJ23" s="54">
        <v>4.5</v>
      </c>
      <c r="AK23" s="54">
        <v>0</v>
      </c>
      <c r="AL23" s="286">
        <v>0</v>
      </c>
      <c r="AM23" s="286"/>
      <c r="AN23" s="286"/>
      <c r="AO23" s="54">
        <v>0.68</v>
      </c>
      <c r="AP23" s="54">
        <v>10.34</v>
      </c>
      <c r="AQ23" s="54">
        <v>0</v>
      </c>
      <c r="AR23" s="54">
        <v>0</v>
      </c>
      <c r="AS23" s="54">
        <v>0</v>
      </c>
      <c r="AT23" s="54">
        <v>3.34</v>
      </c>
      <c r="AV23" s="72">
        <f>+AV76/$AV$80</f>
        <v>0.013922463878540021</v>
      </c>
      <c r="AW23" s="29"/>
      <c r="AX23" s="72"/>
      <c r="AY23" s="72"/>
      <c r="AZ23" s="54"/>
      <c r="BA23" s="54"/>
    </row>
    <row r="24" spans="1:53" ht="12.75">
      <c r="A24" s="248" t="s">
        <v>464</v>
      </c>
      <c r="B24" s="209"/>
      <c r="C24" s="142">
        <v>0.4</v>
      </c>
      <c r="D24" s="142">
        <v>0</v>
      </c>
      <c r="E24" s="142">
        <v>0</v>
      </c>
      <c r="F24" s="142"/>
      <c r="G24" s="142"/>
      <c r="H24" s="55"/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2.9</v>
      </c>
      <c r="O24" s="54">
        <v>3.2</v>
      </c>
      <c r="P24" s="54">
        <v>0</v>
      </c>
      <c r="Q24" s="54">
        <v>10.58</v>
      </c>
      <c r="R24" s="54">
        <v>0</v>
      </c>
      <c r="S24" s="54">
        <v>2.72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8.2</v>
      </c>
      <c r="AK24" s="54">
        <v>0</v>
      </c>
      <c r="AL24" s="286">
        <v>0</v>
      </c>
      <c r="AM24" s="286"/>
      <c r="AN24" s="286"/>
      <c r="AO24" s="54">
        <v>0.25</v>
      </c>
      <c r="AP24" s="54">
        <v>11.56</v>
      </c>
      <c r="AQ24" s="54">
        <v>0</v>
      </c>
      <c r="AR24" s="54">
        <v>0</v>
      </c>
      <c r="AS24" s="54">
        <v>0</v>
      </c>
      <c r="AT24" s="54">
        <v>9.54</v>
      </c>
      <c r="AV24" s="72">
        <f>+AV77/$AV$80</f>
        <v>0.043612487788914224</v>
      </c>
      <c r="AW24" s="29"/>
      <c r="AX24" s="72"/>
      <c r="AY24" s="72"/>
      <c r="AZ24" s="54"/>
      <c r="BA24" s="54"/>
    </row>
    <row r="25" spans="1:53" ht="12.75">
      <c r="A25" s="248" t="s">
        <v>465</v>
      </c>
      <c r="B25" s="209"/>
      <c r="C25" s="142">
        <v>0</v>
      </c>
      <c r="D25" s="142">
        <v>0</v>
      </c>
      <c r="E25" s="142">
        <v>0</v>
      </c>
      <c r="F25" s="142"/>
      <c r="G25" s="142"/>
      <c r="H25" s="55"/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5.81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40.3</v>
      </c>
      <c r="AJ25" s="54">
        <v>6.8</v>
      </c>
      <c r="AK25" s="54">
        <v>0.3</v>
      </c>
      <c r="AL25" s="286">
        <v>0</v>
      </c>
      <c r="AM25" s="286"/>
      <c r="AN25" s="286"/>
      <c r="AO25" s="54">
        <v>0</v>
      </c>
      <c r="AP25" s="54">
        <v>24</v>
      </c>
      <c r="AQ25" s="54">
        <v>0</v>
      </c>
      <c r="AR25" s="54">
        <v>0</v>
      </c>
      <c r="AS25" s="54">
        <v>0</v>
      </c>
      <c r="AT25" s="54">
        <v>1.26</v>
      </c>
      <c r="AV25" s="72">
        <f>+AV78/$AV$80</f>
        <v>0.026212397574063774</v>
      </c>
      <c r="AW25" s="29"/>
      <c r="AX25" s="72"/>
      <c r="AY25" s="72"/>
      <c r="AZ25" s="54"/>
      <c r="BA25" s="54"/>
    </row>
    <row r="26" spans="1:53" ht="12.75">
      <c r="A26" s="248" t="s">
        <v>466</v>
      </c>
      <c r="B26" s="209">
        <v>7</v>
      </c>
      <c r="C26" s="142">
        <v>0</v>
      </c>
      <c r="D26" s="142">
        <v>0</v>
      </c>
      <c r="E26" s="142">
        <v>0</v>
      </c>
      <c r="F26" s="142"/>
      <c r="G26" s="142"/>
      <c r="H26" s="55"/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0.07</v>
      </c>
      <c r="R26" s="54">
        <v>0</v>
      </c>
      <c r="S26" s="54">
        <v>0</v>
      </c>
      <c r="T26" s="54">
        <v>0</v>
      </c>
      <c r="U26" s="54">
        <v>0</v>
      </c>
      <c r="V26" s="54">
        <v>100</v>
      </c>
      <c r="W26" s="54">
        <v>0</v>
      </c>
      <c r="X26" s="54">
        <v>0</v>
      </c>
      <c r="Y26" s="54">
        <v>100</v>
      </c>
      <c r="Z26" s="54">
        <v>100</v>
      </c>
      <c r="AA26" s="54">
        <v>100</v>
      </c>
      <c r="AB26" s="54">
        <v>100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100</v>
      </c>
      <c r="AI26" s="54">
        <v>0</v>
      </c>
      <c r="AJ26" s="54">
        <v>0</v>
      </c>
      <c r="AK26" s="54">
        <v>0</v>
      </c>
      <c r="AL26" s="286">
        <v>0</v>
      </c>
      <c r="AM26" s="286"/>
      <c r="AN26" s="286"/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/>
      <c r="AV26" s="72">
        <f>+AV79/$AV$80</f>
        <v>0.3310133595739054</v>
      </c>
      <c r="AW26" s="29"/>
      <c r="AX26" s="72"/>
      <c r="AY26" s="72"/>
      <c r="AZ26" s="54"/>
      <c r="BA26" s="54"/>
    </row>
    <row r="27" spans="1:53" s="153" customFormat="1" ht="12.75">
      <c r="A27" s="269" t="s">
        <v>467</v>
      </c>
      <c r="B27" s="210"/>
      <c r="C27" s="152">
        <f>SUM(C22:C26)</f>
        <v>100</v>
      </c>
      <c r="D27" s="152">
        <f>SUM(D22:D26)</f>
        <v>100</v>
      </c>
      <c r="E27" s="152">
        <f>SUM(E22:E26)</f>
        <v>100</v>
      </c>
      <c r="F27" s="152">
        <f aca="true" t="shared" si="6" ref="F27:O27">+SUM(F22:F26)</f>
        <v>0</v>
      </c>
      <c r="G27" s="152">
        <f t="shared" si="6"/>
        <v>0</v>
      </c>
      <c r="H27" s="155">
        <f t="shared" si="6"/>
        <v>0</v>
      </c>
      <c r="I27" s="152">
        <f>+SUM(I22:I26)</f>
        <v>100</v>
      </c>
      <c r="J27" s="152">
        <f>+SUM(J22:J26)</f>
        <v>0</v>
      </c>
      <c r="K27" s="152">
        <f>+SUM(K22:K26)</f>
        <v>0</v>
      </c>
      <c r="L27" s="152">
        <f t="shared" si="6"/>
        <v>100</v>
      </c>
      <c r="M27" s="152">
        <f t="shared" si="6"/>
        <v>100</v>
      </c>
      <c r="N27" s="152">
        <f t="shared" si="6"/>
        <v>100</v>
      </c>
      <c r="O27" s="152">
        <f t="shared" si="6"/>
        <v>100</v>
      </c>
      <c r="P27" s="152">
        <f>SUM(P22:P26)</f>
        <v>100</v>
      </c>
      <c r="Q27" s="152">
        <f>+SUM(Q22:Q26)</f>
        <v>100</v>
      </c>
      <c r="R27" s="152">
        <f>+SUM(R22:R26)</f>
        <v>100</v>
      </c>
      <c r="S27" s="152">
        <f>+SUM(S22:S26)</f>
        <v>100</v>
      </c>
      <c r="T27" s="152">
        <f>SUM(T22:T26)</f>
        <v>0</v>
      </c>
      <c r="U27" s="152">
        <f>SUM(U22:U26)</f>
        <v>0</v>
      </c>
      <c r="V27" s="152">
        <f>+SUM(V22:V26)</f>
        <v>100</v>
      </c>
      <c r="W27" s="152">
        <f>+SUM(W22:W26)</f>
        <v>0</v>
      </c>
      <c r="X27" s="152">
        <f>+SUM(X22:X26)</f>
        <v>0</v>
      </c>
      <c r="Y27" s="152">
        <f>SUM(Y22:Y26)</f>
        <v>100</v>
      </c>
      <c r="Z27" s="152">
        <f>SUM(Z22:Z26)</f>
        <v>100</v>
      </c>
      <c r="AA27" s="152">
        <f>SUM(AA22:AA26)</f>
        <v>100</v>
      </c>
      <c r="AB27" s="152">
        <f>SUM(AB22:AB26)</f>
        <v>100</v>
      </c>
      <c r="AC27" s="152">
        <f>SUM(AC22:AC26)</f>
        <v>0</v>
      </c>
      <c r="AD27" s="152">
        <f>+SUM(AD22:AD26)</f>
        <v>0</v>
      </c>
      <c r="AE27" s="152">
        <f>+SUM(AE22:AE26)</f>
        <v>0</v>
      </c>
      <c r="AF27" s="152">
        <f>SUM(AF22:AF26)</f>
        <v>0</v>
      </c>
      <c r="AG27" s="152">
        <f>SUM(AG22:AG26)</f>
        <v>0</v>
      </c>
      <c r="AH27" s="152">
        <f>SUM(AH22:AH26)</f>
        <v>100</v>
      </c>
      <c r="AI27" s="152">
        <f aca="true" t="shared" si="7" ref="AI27:AN27">+SUM(AI22:AI26)</f>
        <v>100</v>
      </c>
      <c r="AJ27" s="152">
        <f t="shared" si="7"/>
        <v>100</v>
      </c>
      <c r="AK27" s="152">
        <f t="shared" si="7"/>
        <v>100</v>
      </c>
      <c r="AL27" s="155">
        <f t="shared" si="7"/>
        <v>100</v>
      </c>
      <c r="AM27" s="155">
        <f t="shared" si="7"/>
        <v>0</v>
      </c>
      <c r="AN27" s="155">
        <f t="shared" si="7"/>
        <v>0</v>
      </c>
      <c r="AO27" s="152">
        <f>SUM(AO22:AO26)</f>
        <v>100</v>
      </c>
      <c r="AP27" s="152">
        <f>SUM(AP22:AP26)</f>
        <v>100</v>
      </c>
      <c r="AQ27" s="152">
        <f>SUM(AQ22:AQ26)</f>
        <v>100</v>
      </c>
      <c r="AR27" s="152">
        <f>SUM(AR22:AR26)</f>
        <v>0</v>
      </c>
      <c r="AS27" s="152">
        <f>+SUM(AS22:AS26)</f>
        <v>0</v>
      </c>
      <c r="AT27" s="152">
        <f>+SUM(AT22:AT26)</f>
        <v>100.00000000000001</v>
      </c>
      <c r="AV27" s="149">
        <f>SUM(AV22:AV26)</f>
        <v>1.0000000000000002</v>
      </c>
      <c r="AW27" s="151"/>
      <c r="AX27" s="151"/>
      <c r="AY27" s="151"/>
      <c r="AZ27" s="152"/>
      <c r="BA27" s="154"/>
    </row>
    <row r="28" spans="1:53" ht="12.75">
      <c r="A28" s="248" t="s">
        <v>468</v>
      </c>
      <c r="B28" s="205">
        <v>8</v>
      </c>
      <c r="C28" s="56">
        <f>+'5.1. Personal Pension.'!B23/'5.1. Personal Pension.'!B15</f>
        <v>0.047498570585070336</v>
      </c>
      <c r="D28" s="56">
        <f>+'5.1. Personal Pension.'!C23/'5.1. Personal Pension.'!C15</f>
        <v>0.0010255345307662166</v>
      </c>
      <c r="E28" s="56">
        <f>+'5.1. Personal Pension.'!D23/'5.1. Personal Pension.'!D15</f>
        <v>0.006408320617336125</v>
      </c>
      <c r="F28" s="56">
        <f>+'5.1. Personal Pension.'!E23/'5.1. Personal Pension.'!E15</f>
        <v>0.02987763535982953</v>
      </c>
      <c r="G28" s="56">
        <f>+'5.1. Personal Pension.'!F23/'5.1. Personal Pension.'!F15</f>
        <v>0.013125895596235221</v>
      </c>
      <c r="H28" s="57">
        <f>+'5.1. Personal Pension.'!G23/'5.1. Personal Pension.'!G15</f>
        <v>0.004443095669911327</v>
      </c>
      <c r="I28" s="56">
        <f>+'5.1. Personal Pension.'!H23/'5.1. Personal Pension.'!H15</f>
        <v>0.0164368767309862</v>
      </c>
      <c r="J28" s="56">
        <f>+'5.1. Personal Pension.'!I23/'5.1. Personal Pension.'!I15</f>
        <v>0</v>
      </c>
      <c r="K28" s="56">
        <f>+'5.1. Personal Pension.'!J23/'5.1. Personal Pension.'!J15</f>
        <v>0</v>
      </c>
      <c r="L28" s="56">
        <f>+'5.1. Personal Pension.'!K23/'5.1. Personal Pension.'!K15</f>
        <v>0.018564200442947945</v>
      </c>
      <c r="M28" s="56">
        <f>+'5.1. Personal Pension.'!L23/'5.1. Personal Pension.'!L15</f>
        <v>0.0308344358980109</v>
      </c>
      <c r="N28" s="56">
        <f>+'5.1. Personal Pension.'!M23/'5.1. Personal Pension.'!M15</f>
        <v>0.04654405281827315</v>
      </c>
      <c r="O28" s="56">
        <f>+'5.1. Personal Pension.'!N23/'5.1. Personal Pension.'!N15</f>
        <v>0.002609410659148879</v>
      </c>
      <c r="P28" s="56">
        <f>+'5.1. Personal Pension.'!O23/'5.1. Personal Pension.'!O15</f>
        <v>0.003760547878194937</v>
      </c>
      <c r="Q28" s="56">
        <f>+'5.1. Personal Pension.'!P23/'5.1. Personal Pension.'!P15</f>
        <v>0.2893469459067326</v>
      </c>
      <c r="R28" s="56">
        <f>+'5.1. Personal Pension.'!Q23/'5.1. Personal Pension.'!Q15</f>
        <v>0.006334796009486591</v>
      </c>
      <c r="S28" s="56">
        <f>+'5.1. Personal Pension.'!R23/'5.1. Personal Pension.'!R15</f>
        <v>0.04579471582693054</v>
      </c>
      <c r="T28" s="56">
        <f>+'5.1. Personal Pension.'!S23/'5.1. Personal Pension.'!S15</f>
        <v>0</v>
      </c>
      <c r="U28" s="56">
        <f>+'5.1. Personal Pension.'!T23/'5.1. Personal Pension.'!T15</f>
        <v>0</v>
      </c>
      <c r="V28" s="56">
        <f>+'5.1. Personal Pension.'!U23/'5.1. Personal Pension.'!U15</f>
        <v>0.15969714249508965</v>
      </c>
      <c r="W28" s="56">
        <f>+'5.1. Personal Pension.'!V23/'5.1. Personal Pension.'!V15</f>
        <v>0</v>
      </c>
      <c r="X28" s="56">
        <f>+'5.1. Personal Pension.'!W23/'5.1. Personal Pension.'!W15</f>
        <v>0</v>
      </c>
      <c r="Y28" s="56">
        <f>+'5.1. Personal Pension.'!X23/'5.1. Personal Pension.'!X15</f>
        <v>0.006028459303334357</v>
      </c>
      <c r="Z28" s="56">
        <f>+'5.1. Personal Pension.'!Y23/'5.1. Personal Pension.'!Y15</f>
        <v>0.09387729999888755</v>
      </c>
      <c r="AA28" s="56">
        <f>+'5.1. Personal Pension.'!Z23/'5.1. Personal Pension.'!Z15</f>
        <v>5.259041885381241</v>
      </c>
      <c r="AB28" s="56">
        <f>+'5.1. Personal Pension.'!AA23/'5.1. Personal Pension.'!AA15</f>
        <v>0.004215075112171176</v>
      </c>
      <c r="AC28" s="56">
        <f>+'5.1. Personal Pension.'!AB23/'5.1. Personal Pension.'!AB15</f>
        <v>0</v>
      </c>
      <c r="AD28" s="56">
        <f>+'5.1. Personal Pension.'!AC23/'5.1. Personal Pension.'!AC15</f>
        <v>0</v>
      </c>
      <c r="AE28" s="56">
        <f>+'5.1. Personal Pension.'!AD23/'5.1. Personal Pension.'!AD15</f>
        <v>0</v>
      </c>
      <c r="AF28" s="56">
        <f>+'5.1. Personal Pension.'!AE23/'5.1. Personal Pension.'!AE15</f>
        <v>0</v>
      </c>
      <c r="AG28" s="56">
        <f>+'5.1. Personal Pension.'!AF23/'5.1. Personal Pension.'!AF15</f>
        <v>0</v>
      </c>
      <c r="AH28" s="56">
        <f>+'5.1. Personal Pension.'!AG23/'5.1. Personal Pension.'!AG15</f>
        <v>0.10340785120331</v>
      </c>
      <c r="AI28" s="56">
        <f>+'5.1. Personal Pension.'!AH23/'5.1. Personal Pension.'!AH15</f>
        <v>0.009510201293324376</v>
      </c>
      <c r="AJ28" s="56">
        <f>+'5.1. Personal Pension.'!AI23/'5.1. Personal Pension.'!AI15</f>
        <v>0.06032289076728685</v>
      </c>
      <c r="AK28" s="56">
        <f>+'5.1. Personal Pension.'!AJ23/'5.1. Personal Pension.'!AJ15</f>
        <v>2.0278351557031984</v>
      </c>
      <c r="AL28" s="57">
        <f>+'5.1. Personal Pension.'!AK23/'5.1. Personal Pension.'!AK15</f>
        <v>0.012969847170590664</v>
      </c>
      <c r="AM28" s="57">
        <f>+'5.1. Personal Pension.'!AL23/'5.1. Personal Pension.'!AL15</f>
        <v>0</v>
      </c>
      <c r="AN28" s="57">
        <f>+'5.1. Personal Pension.'!AM23/'5.1. Personal Pension.'!AM15</f>
        <v>0</v>
      </c>
      <c r="AO28" s="56">
        <f>+'5.1. Personal Pension.'!AN23/'5.1. Personal Pension.'!AN15</f>
        <v>0.12934360484300836</v>
      </c>
      <c r="AP28" s="56">
        <f>+'5.1. Personal Pension.'!AO23/'5.1. Personal Pension.'!AO15</f>
        <v>0.0014288942170034753</v>
      </c>
      <c r="AQ28" s="56">
        <f>+'5.1. Personal Pension.'!AP23/'5.1. Personal Pension.'!AP15</f>
        <v>0.002439443576922952</v>
      </c>
      <c r="AR28" s="56">
        <f>+'5.1. Personal Pension.'!AQ23/'5.1. Personal Pension.'!AQ15</f>
        <v>0</v>
      </c>
      <c r="AS28" s="56">
        <f>+'5.1. Personal Pension.'!AR23/'5.1. Personal Pension.'!AR15</f>
        <v>0</v>
      </c>
      <c r="AT28" s="56">
        <f>+'5.1. Personal Pension.'!AS23/'5.1. Personal Pension.'!AS15</f>
        <v>0.3264888929269068</v>
      </c>
      <c r="AU28" s="56"/>
      <c r="AV28" s="56">
        <f>+'5.1. Personal Pension.'!AU23/'5.1. Personal Pension.'!AU15</f>
        <v>0.06915974176971804</v>
      </c>
      <c r="AW28" s="56"/>
      <c r="AX28" s="56"/>
      <c r="AY28" s="56"/>
      <c r="AZ28" s="54"/>
      <c r="BA28" s="54"/>
    </row>
    <row r="29" spans="1:53" ht="12.75">
      <c r="A29" s="248"/>
      <c r="B29" s="209"/>
      <c r="C29" s="56"/>
      <c r="D29" s="56"/>
      <c r="E29" s="56"/>
      <c r="F29" s="56"/>
      <c r="G29" s="56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AD29" s="56"/>
      <c r="AE29" s="56"/>
      <c r="AF29" s="56"/>
      <c r="AG29" s="56"/>
      <c r="AH29" s="56"/>
      <c r="AI29" s="56"/>
      <c r="AJ29" s="56"/>
      <c r="AK29" s="56"/>
      <c r="AL29" s="57"/>
      <c r="AM29" s="57"/>
      <c r="AN29" s="57"/>
      <c r="AS29" s="56"/>
      <c r="AT29" s="56"/>
      <c r="AV29" s="56"/>
      <c r="AW29" s="56"/>
      <c r="AX29" s="13"/>
      <c r="AY29" s="13"/>
      <c r="AZ29" s="54"/>
      <c r="BA29" s="54"/>
    </row>
    <row r="30" spans="1:53" ht="12.75">
      <c r="A30" s="267"/>
      <c r="B30" s="209"/>
      <c r="C30" s="52"/>
      <c r="D30" s="52"/>
      <c r="E30" s="52"/>
      <c r="F30" s="52"/>
      <c r="G30" s="52"/>
      <c r="H30" s="50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30"/>
      <c r="AM30" s="30"/>
      <c r="AN30" s="30"/>
      <c r="AO30" s="59"/>
      <c r="AP30" s="59"/>
      <c r="AQ30" s="59"/>
      <c r="AR30" s="59"/>
      <c r="AS30" s="52"/>
      <c r="AT30" s="53"/>
      <c r="AV30" s="53"/>
      <c r="AW30" s="53"/>
      <c r="AX30" s="13"/>
      <c r="AY30" s="13"/>
      <c r="AZ30" s="53"/>
      <c r="BA30" s="53"/>
    </row>
    <row r="31" spans="1:171" s="164" customFormat="1" ht="12.75">
      <c r="A31" s="246" t="s">
        <v>471</v>
      </c>
      <c r="B31" s="209"/>
      <c r="C31" s="287" t="s">
        <v>541</v>
      </c>
      <c r="D31" s="287"/>
      <c r="E31" s="287"/>
      <c r="F31" s="160"/>
      <c r="G31" s="288" t="s">
        <v>541</v>
      </c>
      <c r="H31" s="288"/>
      <c r="J31" s="287" t="s">
        <v>538</v>
      </c>
      <c r="K31" s="287"/>
      <c r="L31" s="288" t="s">
        <v>541</v>
      </c>
      <c r="M31" s="288"/>
      <c r="N31" s="288" t="s">
        <v>541</v>
      </c>
      <c r="O31" s="288"/>
      <c r="P31" s="161"/>
      <c r="Q31" s="287" t="s">
        <v>541</v>
      </c>
      <c r="R31" s="287"/>
      <c r="S31" s="287"/>
      <c r="T31" s="160"/>
      <c r="U31" s="160"/>
      <c r="V31" s="160"/>
      <c r="W31" s="70"/>
      <c r="X31" s="70"/>
      <c r="Y31" s="289" t="s">
        <v>541</v>
      </c>
      <c r="Z31" s="289"/>
      <c r="AA31" s="289"/>
      <c r="AB31" s="289"/>
      <c r="AC31" s="160" t="s">
        <v>535</v>
      </c>
      <c r="AD31" s="160"/>
      <c r="AE31" s="160"/>
      <c r="AF31" s="278" t="s">
        <v>542</v>
      </c>
      <c r="AG31" s="278"/>
      <c r="AH31" s="160"/>
      <c r="AI31" s="287" t="s">
        <v>541</v>
      </c>
      <c r="AJ31" s="287"/>
      <c r="AK31" s="287"/>
      <c r="AL31" s="289"/>
      <c r="AM31" s="289"/>
      <c r="AN31" s="289"/>
      <c r="AO31" s="289" t="s">
        <v>541</v>
      </c>
      <c r="AP31" s="289"/>
      <c r="AQ31" s="289"/>
      <c r="AR31" s="289"/>
      <c r="AS31" s="224" t="s">
        <v>537</v>
      </c>
      <c r="AT31" s="161"/>
      <c r="AV31" s="160"/>
      <c r="AW31" s="160"/>
      <c r="AX31" s="165"/>
      <c r="AY31" s="165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</row>
    <row r="32" spans="1:171" s="120" customFormat="1" ht="12.75">
      <c r="A32" s="247"/>
      <c r="B32" s="209"/>
      <c r="C32" s="160" t="s">
        <v>535</v>
      </c>
      <c r="D32" s="287" t="s">
        <v>538</v>
      </c>
      <c r="E32" s="287"/>
      <c r="F32" s="160"/>
      <c r="G32" s="276"/>
      <c r="H32" s="276"/>
      <c r="I32" s="63"/>
      <c r="J32" s="287"/>
      <c r="K32" s="287"/>
      <c r="L32" s="290"/>
      <c r="M32" s="290"/>
      <c r="N32" s="160" t="s">
        <v>535</v>
      </c>
      <c r="O32" s="277"/>
      <c r="P32" s="62"/>
      <c r="S32" s="63"/>
      <c r="T32" s="63"/>
      <c r="U32" s="63"/>
      <c r="V32" s="63"/>
      <c r="W32" s="63"/>
      <c r="X32" s="63"/>
      <c r="Y32" s="160" t="s">
        <v>535</v>
      </c>
      <c r="Z32" s="63"/>
      <c r="AA32" s="160" t="s">
        <v>535</v>
      </c>
      <c r="AB32" s="224" t="s">
        <v>537</v>
      </c>
      <c r="AC32" s="160" t="s">
        <v>534</v>
      </c>
      <c r="AD32" s="63"/>
      <c r="AE32" s="63"/>
      <c r="AF32" s="160" t="s">
        <v>539</v>
      </c>
      <c r="AG32" s="63"/>
      <c r="AH32" s="63"/>
      <c r="AI32" s="63"/>
      <c r="AJ32" s="63"/>
      <c r="AK32" s="63"/>
      <c r="AL32" s="62"/>
      <c r="AM32" s="62"/>
      <c r="AN32" s="62"/>
      <c r="AO32" s="54"/>
      <c r="AP32" s="54"/>
      <c r="AQ32" s="54"/>
      <c r="AR32" s="224" t="s">
        <v>537</v>
      </c>
      <c r="AS32" s="275">
        <v>2002</v>
      </c>
      <c r="AT32" s="62"/>
      <c r="AV32" s="63"/>
      <c r="AW32" s="63"/>
      <c r="AX32" s="64"/>
      <c r="AY32" s="64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</row>
    <row r="33" spans="2:171" s="120" customFormat="1" ht="12.75">
      <c r="B33" s="209"/>
      <c r="C33" s="160" t="s">
        <v>534</v>
      </c>
      <c r="D33" s="287"/>
      <c r="E33" s="287"/>
      <c r="F33" s="63"/>
      <c r="G33" s="63"/>
      <c r="H33" s="62"/>
      <c r="I33" s="63"/>
      <c r="J33" s="63"/>
      <c r="K33" s="63"/>
      <c r="L33" s="63"/>
      <c r="M33" s="63"/>
      <c r="N33" s="160" t="s">
        <v>534</v>
      </c>
      <c r="O33" s="63"/>
      <c r="P33" s="62"/>
      <c r="Q33" s="63"/>
      <c r="R33" s="63"/>
      <c r="S33" s="63"/>
      <c r="T33" s="63"/>
      <c r="U33" s="63"/>
      <c r="V33" s="63"/>
      <c r="W33" s="63"/>
      <c r="X33" s="63"/>
      <c r="Y33" s="160" t="s">
        <v>534</v>
      </c>
      <c r="AA33" s="160" t="s">
        <v>534</v>
      </c>
      <c r="AB33" s="275">
        <v>2002</v>
      </c>
      <c r="AC33" s="63"/>
      <c r="AD33" s="63"/>
      <c r="AE33" s="63"/>
      <c r="AF33" s="63"/>
      <c r="AG33" s="63"/>
      <c r="AH33" s="63"/>
      <c r="AI33" s="63"/>
      <c r="AJ33" s="63"/>
      <c r="AK33" s="63"/>
      <c r="AL33" s="62"/>
      <c r="AM33" s="62"/>
      <c r="AN33" s="62"/>
      <c r="AO33" s="54"/>
      <c r="AP33" s="54"/>
      <c r="AQ33" s="54"/>
      <c r="AR33" s="275">
        <v>2002</v>
      </c>
      <c r="AS33" s="62"/>
      <c r="AT33" s="62"/>
      <c r="AV33" s="63"/>
      <c r="AW33" s="63"/>
      <c r="AX33" s="64"/>
      <c r="AY33" s="64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</row>
    <row r="34" spans="1:171" s="120" customFormat="1" ht="15" customHeight="1">
      <c r="A34" s="65"/>
      <c r="B34" s="207"/>
      <c r="C34" s="63"/>
      <c r="D34" s="63"/>
      <c r="E34" s="63"/>
      <c r="F34" s="63"/>
      <c r="H34" s="62"/>
      <c r="I34" s="63"/>
      <c r="J34" s="63"/>
      <c r="K34" s="63"/>
      <c r="L34" s="63"/>
      <c r="M34" s="63"/>
      <c r="O34" s="63"/>
      <c r="P34" s="62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274"/>
      <c r="AC34" s="63"/>
      <c r="AD34" s="63"/>
      <c r="AE34" s="63"/>
      <c r="AF34" s="63"/>
      <c r="AG34" s="63"/>
      <c r="AH34" s="63"/>
      <c r="AI34" s="63"/>
      <c r="AJ34" s="63"/>
      <c r="AK34" s="63"/>
      <c r="AL34" s="62"/>
      <c r="AM34" s="62"/>
      <c r="AN34" s="62"/>
      <c r="AO34" s="54"/>
      <c r="AP34" s="54"/>
      <c r="AQ34" s="54"/>
      <c r="AR34" s="54"/>
      <c r="AS34" s="62"/>
      <c r="AT34" s="62"/>
      <c r="AV34" s="63"/>
      <c r="AW34" s="63"/>
      <c r="AX34" s="64"/>
      <c r="AY34" s="64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</row>
    <row r="35" spans="1:171" s="120" customFormat="1" ht="12.75">
      <c r="A35" s="64"/>
      <c r="B35" s="207"/>
      <c r="C35" s="219" t="s">
        <v>473</v>
      </c>
      <c r="D35" s="63"/>
      <c r="E35" s="63"/>
      <c r="F35" s="63"/>
      <c r="G35" s="160"/>
      <c r="H35" s="62"/>
      <c r="I35" s="219" t="s">
        <v>473</v>
      </c>
      <c r="J35" s="63"/>
      <c r="K35" s="63"/>
      <c r="L35" s="63"/>
      <c r="M35" s="63"/>
      <c r="N35" s="63"/>
      <c r="O35" s="63"/>
      <c r="P35" s="219" t="s">
        <v>473</v>
      </c>
      <c r="Q35" s="63"/>
      <c r="R35" s="63"/>
      <c r="S35" s="63"/>
      <c r="T35" s="63"/>
      <c r="U35" s="63"/>
      <c r="V35" s="63"/>
      <c r="W35" s="219" t="s">
        <v>473</v>
      </c>
      <c r="X35" s="63"/>
      <c r="Y35" s="63"/>
      <c r="Z35" s="63"/>
      <c r="AA35" s="63"/>
      <c r="AB35" s="63"/>
      <c r="AC35" s="219" t="s">
        <v>473</v>
      </c>
      <c r="AE35" s="63"/>
      <c r="AF35" s="63"/>
      <c r="AG35" s="63"/>
      <c r="AH35" s="63"/>
      <c r="AI35" s="219" t="s">
        <v>473</v>
      </c>
      <c r="AJ35" s="63"/>
      <c r="AK35" s="65"/>
      <c r="AM35" s="62"/>
      <c r="AN35" s="62"/>
      <c r="AO35" s="219" t="s">
        <v>473</v>
      </c>
      <c r="AP35" s="54"/>
      <c r="AQ35" s="54"/>
      <c r="AR35" s="54"/>
      <c r="AT35" s="62"/>
      <c r="AV35" s="65"/>
      <c r="AW35" s="63"/>
      <c r="AX35" s="64"/>
      <c r="AY35" s="64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</row>
    <row r="36" spans="1:171" s="120" customFormat="1" ht="12.75">
      <c r="A36" s="219"/>
      <c r="B36" s="207"/>
      <c r="C36" s="165" t="s">
        <v>482</v>
      </c>
      <c r="D36" s="63"/>
      <c r="E36" s="63"/>
      <c r="F36" s="63"/>
      <c r="G36" s="63"/>
      <c r="H36" s="62"/>
      <c r="I36" s="165" t="s">
        <v>482</v>
      </c>
      <c r="J36" s="63"/>
      <c r="K36" s="63"/>
      <c r="L36" s="63"/>
      <c r="M36" s="63"/>
      <c r="N36" s="63"/>
      <c r="O36" s="63"/>
      <c r="P36" s="165" t="s">
        <v>482</v>
      </c>
      <c r="Q36" s="63"/>
      <c r="R36" s="63"/>
      <c r="S36" s="63"/>
      <c r="T36" s="63"/>
      <c r="U36" s="63"/>
      <c r="V36" s="63"/>
      <c r="W36" s="165" t="s">
        <v>482</v>
      </c>
      <c r="X36" s="63"/>
      <c r="Y36" s="63"/>
      <c r="Z36" s="63"/>
      <c r="AA36" s="63"/>
      <c r="AB36" s="63"/>
      <c r="AC36" s="165" t="s">
        <v>482</v>
      </c>
      <c r="AE36" s="63"/>
      <c r="AF36" s="63"/>
      <c r="AG36" s="63"/>
      <c r="AH36" s="63"/>
      <c r="AI36" s="165" t="s">
        <v>482</v>
      </c>
      <c r="AJ36" s="63"/>
      <c r="AK36" s="64"/>
      <c r="AM36" s="62"/>
      <c r="AN36" s="62"/>
      <c r="AO36" s="165" t="s">
        <v>482</v>
      </c>
      <c r="AP36" s="54"/>
      <c r="AQ36" s="54"/>
      <c r="AR36" s="54"/>
      <c r="AT36" s="62"/>
      <c r="AV36" s="64"/>
      <c r="AW36" s="63"/>
      <c r="AX36" s="64"/>
      <c r="AY36" s="64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</row>
    <row r="37" spans="1:171" s="120" customFormat="1" ht="12.75">
      <c r="A37" s="165"/>
      <c r="B37" s="207"/>
      <c r="C37" s="165" t="s">
        <v>474</v>
      </c>
      <c r="D37" s="63"/>
      <c r="E37" s="63"/>
      <c r="F37" s="63"/>
      <c r="G37" s="63"/>
      <c r="H37" s="62"/>
      <c r="I37" s="165" t="s">
        <v>474</v>
      </c>
      <c r="J37" s="63"/>
      <c r="K37" s="63"/>
      <c r="L37" s="63"/>
      <c r="M37" s="63"/>
      <c r="N37" s="63"/>
      <c r="O37" s="63"/>
      <c r="P37" s="165" t="s">
        <v>474</v>
      </c>
      <c r="Q37" s="63"/>
      <c r="R37" s="63"/>
      <c r="S37" s="63"/>
      <c r="T37" s="63"/>
      <c r="U37" s="63"/>
      <c r="V37" s="63"/>
      <c r="W37" s="165" t="s">
        <v>474</v>
      </c>
      <c r="X37" s="63"/>
      <c r="Y37" s="63"/>
      <c r="Z37" s="63"/>
      <c r="AA37" s="63"/>
      <c r="AB37" s="63"/>
      <c r="AC37" s="165" t="s">
        <v>474</v>
      </c>
      <c r="AE37" s="63"/>
      <c r="AF37" s="63"/>
      <c r="AG37" s="63"/>
      <c r="AH37" s="63"/>
      <c r="AI37" s="165" t="s">
        <v>474</v>
      </c>
      <c r="AJ37" s="63"/>
      <c r="AK37" s="64"/>
      <c r="AM37" s="62"/>
      <c r="AN37" s="62"/>
      <c r="AO37" s="165" t="s">
        <v>474</v>
      </c>
      <c r="AP37" s="54"/>
      <c r="AQ37" s="54"/>
      <c r="AR37" s="54"/>
      <c r="AT37" s="62"/>
      <c r="AV37" s="64"/>
      <c r="AW37" s="63"/>
      <c r="AX37" s="64"/>
      <c r="AY37" s="64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</row>
    <row r="38" spans="1:171" s="120" customFormat="1" ht="12.75">
      <c r="A38" s="165"/>
      <c r="B38" s="207"/>
      <c r="C38" s="165" t="s">
        <v>475</v>
      </c>
      <c r="D38" s="63"/>
      <c r="E38" s="63"/>
      <c r="F38" s="63"/>
      <c r="G38" s="63"/>
      <c r="H38" s="62"/>
      <c r="I38" s="165" t="s">
        <v>475</v>
      </c>
      <c r="J38" s="63"/>
      <c r="K38" s="63"/>
      <c r="L38" s="63"/>
      <c r="M38" s="63"/>
      <c r="N38" s="63"/>
      <c r="O38" s="63"/>
      <c r="P38" s="165" t="s">
        <v>475</v>
      </c>
      <c r="Q38" s="63"/>
      <c r="R38" s="63"/>
      <c r="S38" s="63"/>
      <c r="T38" s="63"/>
      <c r="U38" s="63"/>
      <c r="V38" s="63"/>
      <c r="W38" s="165" t="s">
        <v>475</v>
      </c>
      <c r="X38" s="63"/>
      <c r="Y38" s="63"/>
      <c r="Z38" s="63"/>
      <c r="AA38" s="63"/>
      <c r="AB38" s="63"/>
      <c r="AC38" s="165" t="s">
        <v>475</v>
      </c>
      <c r="AE38" s="63"/>
      <c r="AF38" s="63"/>
      <c r="AG38" s="63"/>
      <c r="AH38" s="63"/>
      <c r="AI38" s="165" t="s">
        <v>475</v>
      </c>
      <c r="AJ38" s="63"/>
      <c r="AK38" s="64"/>
      <c r="AM38" s="62"/>
      <c r="AN38" s="62"/>
      <c r="AO38" s="165" t="s">
        <v>475</v>
      </c>
      <c r="AP38" s="54"/>
      <c r="AQ38" s="54"/>
      <c r="AR38" s="54"/>
      <c r="AT38" s="62"/>
      <c r="AV38" s="64"/>
      <c r="AW38" s="63"/>
      <c r="AX38" s="64"/>
      <c r="AY38" s="64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</row>
    <row r="39" spans="1:171" s="120" customFormat="1" ht="12.75">
      <c r="A39" s="165"/>
      <c r="B39" s="207"/>
      <c r="C39" s="165" t="s">
        <v>476</v>
      </c>
      <c r="D39" s="63"/>
      <c r="E39" s="63"/>
      <c r="F39" s="63"/>
      <c r="G39" s="63"/>
      <c r="H39" s="62"/>
      <c r="I39" s="165" t="s">
        <v>476</v>
      </c>
      <c r="J39" s="63"/>
      <c r="K39" s="63"/>
      <c r="L39" s="63"/>
      <c r="M39" s="63"/>
      <c r="N39" s="63"/>
      <c r="O39" s="63"/>
      <c r="P39" s="165" t="s">
        <v>476</v>
      </c>
      <c r="Q39" s="63"/>
      <c r="R39" s="63"/>
      <c r="S39" s="63"/>
      <c r="T39" s="63"/>
      <c r="U39" s="63"/>
      <c r="V39" s="63"/>
      <c r="W39" s="165" t="s">
        <v>476</v>
      </c>
      <c r="X39" s="63"/>
      <c r="Y39" s="63"/>
      <c r="Z39" s="63"/>
      <c r="AA39" s="63"/>
      <c r="AB39" s="63"/>
      <c r="AC39" s="165" t="s">
        <v>476</v>
      </c>
      <c r="AE39" s="63"/>
      <c r="AF39" s="63"/>
      <c r="AG39" s="63"/>
      <c r="AH39" s="63"/>
      <c r="AI39" s="165" t="s">
        <v>476</v>
      </c>
      <c r="AJ39" s="63"/>
      <c r="AK39" s="64"/>
      <c r="AM39" s="62"/>
      <c r="AN39" s="62"/>
      <c r="AO39" s="165" t="s">
        <v>476</v>
      </c>
      <c r="AP39" s="54"/>
      <c r="AQ39" s="54"/>
      <c r="AR39" s="54"/>
      <c r="AT39" s="62"/>
      <c r="AV39" s="64"/>
      <c r="AW39" s="63"/>
      <c r="AX39" s="64"/>
      <c r="AY39" s="64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</row>
    <row r="40" spans="1:171" s="120" customFormat="1" ht="12.75">
      <c r="A40" s="165"/>
      <c r="B40" s="207"/>
      <c r="C40" s="165" t="s">
        <v>477</v>
      </c>
      <c r="D40" s="63"/>
      <c r="E40" s="63"/>
      <c r="F40" s="63"/>
      <c r="G40" s="63"/>
      <c r="H40" s="62"/>
      <c r="I40" s="165" t="s">
        <v>477</v>
      </c>
      <c r="J40" s="63"/>
      <c r="K40" s="63"/>
      <c r="L40" s="63"/>
      <c r="M40" s="63"/>
      <c r="N40" s="63"/>
      <c r="O40" s="63"/>
      <c r="P40" s="165" t="s">
        <v>477</v>
      </c>
      <c r="Q40" s="63"/>
      <c r="R40" s="63"/>
      <c r="S40" s="63"/>
      <c r="T40" s="63"/>
      <c r="U40" s="63"/>
      <c r="V40" s="63"/>
      <c r="W40" s="165" t="s">
        <v>477</v>
      </c>
      <c r="X40" s="63"/>
      <c r="Y40" s="63"/>
      <c r="Z40" s="63"/>
      <c r="AA40" s="63"/>
      <c r="AB40" s="63"/>
      <c r="AC40" s="165" t="s">
        <v>477</v>
      </c>
      <c r="AE40" s="63"/>
      <c r="AF40" s="63"/>
      <c r="AG40" s="63"/>
      <c r="AH40" s="63"/>
      <c r="AI40" s="165" t="s">
        <v>477</v>
      </c>
      <c r="AJ40" s="63"/>
      <c r="AK40" s="64"/>
      <c r="AM40" s="62"/>
      <c r="AN40" s="62"/>
      <c r="AO40" s="165" t="s">
        <v>477</v>
      </c>
      <c r="AP40" s="54"/>
      <c r="AQ40" s="54"/>
      <c r="AR40" s="54"/>
      <c r="AT40" s="62"/>
      <c r="AV40" s="64"/>
      <c r="AW40" s="63"/>
      <c r="AX40" s="64"/>
      <c r="AY40" s="64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</row>
    <row r="41" spans="1:171" s="120" customFormat="1" ht="12.75">
      <c r="A41" s="165"/>
      <c r="B41" s="207"/>
      <c r="C41" s="165" t="s">
        <v>483</v>
      </c>
      <c r="D41" s="63"/>
      <c r="E41" s="63"/>
      <c r="F41" s="63"/>
      <c r="G41" s="63"/>
      <c r="H41" s="62"/>
      <c r="I41" s="165" t="s">
        <v>483</v>
      </c>
      <c r="J41" s="63"/>
      <c r="K41" s="63"/>
      <c r="L41" s="63"/>
      <c r="M41" s="63"/>
      <c r="N41" s="63"/>
      <c r="O41" s="63"/>
      <c r="P41" s="165" t="s">
        <v>483</v>
      </c>
      <c r="Q41" s="63"/>
      <c r="R41" s="63"/>
      <c r="S41" s="63"/>
      <c r="T41" s="63"/>
      <c r="U41" s="63"/>
      <c r="V41" s="63"/>
      <c r="W41" s="165" t="s">
        <v>483</v>
      </c>
      <c r="X41" s="63"/>
      <c r="Y41" s="63"/>
      <c r="Z41" s="63"/>
      <c r="AA41" s="63"/>
      <c r="AB41" s="63"/>
      <c r="AC41" s="165" t="s">
        <v>483</v>
      </c>
      <c r="AE41" s="63"/>
      <c r="AF41" s="63"/>
      <c r="AG41" s="63"/>
      <c r="AH41" s="63"/>
      <c r="AI41" s="165" t="s">
        <v>483</v>
      </c>
      <c r="AJ41" s="63"/>
      <c r="AK41" s="64"/>
      <c r="AM41" s="62"/>
      <c r="AN41" s="62"/>
      <c r="AO41" s="165" t="s">
        <v>483</v>
      </c>
      <c r="AP41" s="54"/>
      <c r="AQ41" s="54"/>
      <c r="AR41" s="54"/>
      <c r="AT41" s="62"/>
      <c r="AV41" s="64"/>
      <c r="AW41" s="63"/>
      <c r="AX41" s="64"/>
      <c r="AY41" s="64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</row>
    <row r="42" spans="1:171" s="120" customFormat="1" ht="12.75">
      <c r="A42" s="165"/>
      <c r="B42" s="207"/>
      <c r="C42" s="165" t="s">
        <v>484</v>
      </c>
      <c r="D42" s="63"/>
      <c r="E42" s="63"/>
      <c r="F42" s="63"/>
      <c r="G42" s="63"/>
      <c r="H42" s="62"/>
      <c r="I42" s="165" t="s">
        <v>484</v>
      </c>
      <c r="J42" s="63"/>
      <c r="K42" s="63"/>
      <c r="L42" s="63"/>
      <c r="M42" s="63"/>
      <c r="N42" s="63"/>
      <c r="O42" s="63"/>
      <c r="P42" s="165" t="s">
        <v>484</v>
      </c>
      <c r="Q42" s="63"/>
      <c r="R42" s="63"/>
      <c r="S42" s="63"/>
      <c r="T42" s="63"/>
      <c r="U42" s="63"/>
      <c r="V42" s="63"/>
      <c r="W42" s="165" t="s">
        <v>484</v>
      </c>
      <c r="X42" s="63"/>
      <c r="Y42" s="63"/>
      <c r="Z42" s="63"/>
      <c r="AA42" s="63"/>
      <c r="AB42" s="63"/>
      <c r="AC42" s="165" t="s">
        <v>484</v>
      </c>
      <c r="AE42" s="63"/>
      <c r="AF42" s="63"/>
      <c r="AG42" s="63"/>
      <c r="AH42" s="63"/>
      <c r="AI42" s="165" t="s">
        <v>484</v>
      </c>
      <c r="AJ42" s="63"/>
      <c r="AK42" s="64"/>
      <c r="AM42" s="62"/>
      <c r="AN42" s="62"/>
      <c r="AO42" s="165" t="s">
        <v>484</v>
      </c>
      <c r="AP42" s="54"/>
      <c r="AQ42" s="54"/>
      <c r="AR42" s="54"/>
      <c r="AT42" s="62"/>
      <c r="AV42" s="64"/>
      <c r="AW42" s="63"/>
      <c r="AX42" s="64"/>
      <c r="AY42" s="64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</row>
    <row r="43" spans="1:171" s="120" customFormat="1" ht="12.75">
      <c r="A43" s="165"/>
      <c r="B43" s="207"/>
      <c r="C43" s="220" t="s">
        <v>478</v>
      </c>
      <c r="D43" s="63"/>
      <c r="E43" s="63"/>
      <c r="F43" s="63"/>
      <c r="G43" s="63"/>
      <c r="H43" s="62"/>
      <c r="I43" s="220" t="s">
        <v>478</v>
      </c>
      <c r="J43" s="63"/>
      <c r="K43" s="63"/>
      <c r="L43" s="63"/>
      <c r="M43" s="63"/>
      <c r="N43" s="63"/>
      <c r="O43" s="63"/>
      <c r="P43" s="220" t="s">
        <v>478</v>
      </c>
      <c r="Q43" s="63"/>
      <c r="R43" s="63"/>
      <c r="S43" s="63"/>
      <c r="T43" s="63"/>
      <c r="U43" s="63"/>
      <c r="V43" s="63"/>
      <c r="W43" s="220" t="s">
        <v>478</v>
      </c>
      <c r="X43" s="63"/>
      <c r="Y43" s="63"/>
      <c r="Z43" s="63"/>
      <c r="AA43" s="63"/>
      <c r="AB43" s="63"/>
      <c r="AC43" s="220" t="s">
        <v>478</v>
      </c>
      <c r="AE43" s="63"/>
      <c r="AF43" s="63"/>
      <c r="AG43" s="63"/>
      <c r="AH43" s="63"/>
      <c r="AI43" s="220" t="s">
        <v>478</v>
      </c>
      <c r="AJ43" s="63"/>
      <c r="AK43" s="32"/>
      <c r="AM43" s="62"/>
      <c r="AN43" s="62"/>
      <c r="AO43" s="220" t="s">
        <v>478</v>
      </c>
      <c r="AP43" s="54"/>
      <c r="AQ43" s="54"/>
      <c r="AR43" s="54"/>
      <c r="AT43" s="62"/>
      <c r="AV43" s="32"/>
      <c r="AW43" s="63"/>
      <c r="AX43" s="64"/>
      <c r="AY43" s="64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</row>
    <row r="44" spans="1:171" s="120" customFormat="1" ht="12.75">
      <c r="A44" s="165"/>
      <c r="B44" s="207"/>
      <c r="C44" s="165" t="s">
        <v>479</v>
      </c>
      <c r="D44" s="63"/>
      <c r="E44" s="63"/>
      <c r="F44" s="63"/>
      <c r="G44" s="63"/>
      <c r="H44" s="62"/>
      <c r="I44" s="165" t="s">
        <v>479</v>
      </c>
      <c r="J44" s="63"/>
      <c r="K44" s="63"/>
      <c r="L44" s="63"/>
      <c r="M44" s="63"/>
      <c r="N44" s="63"/>
      <c r="O44" s="63"/>
      <c r="P44" s="165" t="s">
        <v>479</v>
      </c>
      <c r="Q44" s="63"/>
      <c r="R44" s="63"/>
      <c r="S44" s="63"/>
      <c r="T44" s="63"/>
      <c r="U44" s="63"/>
      <c r="V44" s="63"/>
      <c r="W44" s="165" t="s">
        <v>479</v>
      </c>
      <c r="X44" s="63"/>
      <c r="Y44" s="63"/>
      <c r="Z44" s="63"/>
      <c r="AA44" s="63"/>
      <c r="AB44" s="63"/>
      <c r="AC44" s="165" t="s">
        <v>479</v>
      </c>
      <c r="AE44" s="63"/>
      <c r="AF44" s="63"/>
      <c r="AG44" s="63"/>
      <c r="AH44" s="63"/>
      <c r="AI44" s="165" t="s">
        <v>479</v>
      </c>
      <c r="AJ44" s="63"/>
      <c r="AK44" s="32"/>
      <c r="AM44" s="62"/>
      <c r="AN44" s="62"/>
      <c r="AO44" s="165" t="s">
        <v>479</v>
      </c>
      <c r="AP44" s="54"/>
      <c r="AQ44" s="54"/>
      <c r="AR44" s="54"/>
      <c r="AT44" s="62"/>
      <c r="AV44" s="32"/>
      <c r="AW44" s="63"/>
      <c r="AX44" s="64"/>
      <c r="AY44" s="64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</row>
    <row r="45" spans="1:171" s="120" customFormat="1" ht="12.75">
      <c r="A45" s="220"/>
      <c r="B45" s="207"/>
      <c r="C45" s="220"/>
      <c r="D45" s="63"/>
      <c r="E45" s="63"/>
      <c r="F45" s="63"/>
      <c r="G45" s="63"/>
      <c r="H45" s="62"/>
      <c r="I45" s="63"/>
      <c r="J45" s="63"/>
      <c r="K45" s="63"/>
      <c r="L45" s="63"/>
      <c r="M45" s="63"/>
      <c r="N45" s="63"/>
      <c r="O45" s="63"/>
      <c r="P45" s="62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4"/>
      <c r="AL45" s="62"/>
      <c r="AM45" s="62"/>
      <c r="AN45" s="62"/>
      <c r="AO45" s="54"/>
      <c r="AP45" s="54"/>
      <c r="AQ45" s="54"/>
      <c r="AR45" s="54"/>
      <c r="AS45" s="64"/>
      <c r="AT45" s="62"/>
      <c r="AV45" s="64"/>
      <c r="AW45" s="63"/>
      <c r="AX45" s="64"/>
      <c r="AY45" s="64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</row>
    <row r="46" spans="1:171" s="120" customFormat="1" ht="12.75">
      <c r="A46" s="165"/>
      <c r="B46" s="207"/>
      <c r="C46" s="165"/>
      <c r="D46" s="63"/>
      <c r="E46" s="63"/>
      <c r="F46" s="63"/>
      <c r="G46" s="63"/>
      <c r="H46" s="62"/>
      <c r="I46" s="63"/>
      <c r="J46" s="63"/>
      <c r="K46" s="63"/>
      <c r="L46" s="63"/>
      <c r="M46" s="63"/>
      <c r="N46" s="63"/>
      <c r="O46" s="63"/>
      <c r="P46" s="62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4"/>
      <c r="AL46" s="62"/>
      <c r="AM46" s="62"/>
      <c r="AN46" s="62"/>
      <c r="AO46" s="54"/>
      <c r="AP46" s="54"/>
      <c r="AQ46" s="54"/>
      <c r="AR46" s="54"/>
      <c r="AS46" s="64"/>
      <c r="AT46" s="62"/>
      <c r="AV46" s="64"/>
      <c r="AW46" s="63"/>
      <c r="AX46" s="64"/>
      <c r="AY46" s="64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</row>
    <row r="47" spans="1:171" s="120" customFormat="1" ht="12.75">
      <c r="A47" s="220"/>
      <c r="B47" s="207"/>
      <c r="C47" s="165"/>
      <c r="D47" s="63"/>
      <c r="E47" s="63"/>
      <c r="F47" s="63"/>
      <c r="G47" s="63"/>
      <c r="H47" s="62"/>
      <c r="I47" s="63"/>
      <c r="J47" s="63"/>
      <c r="K47" s="63"/>
      <c r="L47" s="63"/>
      <c r="M47" s="63"/>
      <c r="N47" s="63"/>
      <c r="O47" s="63"/>
      <c r="P47" s="62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4"/>
      <c r="AL47" s="62"/>
      <c r="AM47" s="62"/>
      <c r="AN47" s="62"/>
      <c r="AO47" s="54"/>
      <c r="AP47" s="54"/>
      <c r="AQ47" s="54"/>
      <c r="AR47" s="54"/>
      <c r="AS47" s="64"/>
      <c r="AT47" s="62"/>
      <c r="AV47" s="64"/>
      <c r="AW47" s="63"/>
      <c r="AX47" s="64"/>
      <c r="AY47" s="64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</row>
    <row r="48" spans="1:171" s="120" customFormat="1" ht="12.75">
      <c r="A48" s="165"/>
      <c r="B48" s="207"/>
      <c r="C48" s="165"/>
      <c r="D48" s="63"/>
      <c r="E48" s="63"/>
      <c r="F48" s="63"/>
      <c r="G48" s="63"/>
      <c r="H48" s="62"/>
      <c r="I48" s="63"/>
      <c r="J48" s="63"/>
      <c r="K48" s="63"/>
      <c r="L48" s="63"/>
      <c r="M48" s="63"/>
      <c r="N48" s="63"/>
      <c r="O48" s="63"/>
      <c r="P48" s="62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4"/>
      <c r="AL48" s="62"/>
      <c r="AM48" s="62"/>
      <c r="AN48" s="62"/>
      <c r="AO48" s="54"/>
      <c r="AP48" s="54"/>
      <c r="AQ48" s="54"/>
      <c r="AR48" s="54"/>
      <c r="AS48" s="64"/>
      <c r="AT48" s="62"/>
      <c r="AV48" s="64"/>
      <c r="AW48" s="63"/>
      <c r="AX48" s="64"/>
      <c r="AY48" s="64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</row>
    <row r="49" spans="1:171" s="120" customFormat="1" ht="12.75">
      <c r="A49" s="165"/>
      <c r="B49" s="207"/>
      <c r="C49" s="165"/>
      <c r="D49" s="63"/>
      <c r="E49" s="63"/>
      <c r="F49" s="63"/>
      <c r="G49" s="63"/>
      <c r="H49" s="62"/>
      <c r="I49" s="63"/>
      <c r="J49" s="63"/>
      <c r="K49" s="63"/>
      <c r="L49" s="63"/>
      <c r="M49" s="63"/>
      <c r="N49" s="63"/>
      <c r="O49" s="63"/>
      <c r="P49" s="62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4"/>
      <c r="AL49" s="62"/>
      <c r="AM49" s="62"/>
      <c r="AN49" s="62"/>
      <c r="AO49" s="54"/>
      <c r="AP49" s="54"/>
      <c r="AQ49" s="54"/>
      <c r="AR49" s="54"/>
      <c r="AS49" s="64"/>
      <c r="AT49" s="62"/>
      <c r="AV49" s="64"/>
      <c r="AW49" s="63"/>
      <c r="AX49" s="64"/>
      <c r="AY49" s="64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</row>
    <row r="50" spans="1:171" s="120" customFormat="1" ht="12.75">
      <c r="A50" s="165"/>
      <c r="B50" s="207"/>
      <c r="C50" s="165"/>
      <c r="D50" s="63"/>
      <c r="E50" s="63"/>
      <c r="F50" s="63"/>
      <c r="G50" s="63"/>
      <c r="H50" s="62"/>
      <c r="I50" s="63"/>
      <c r="J50" s="63"/>
      <c r="K50" s="63"/>
      <c r="L50" s="63"/>
      <c r="M50" s="63"/>
      <c r="N50" s="63"/>
      <c r="O50" s="63"/>
      <c r="P50" s="62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  <c r="AL50" s="62"/>
      <c r="AM50" s="62"/>
      <c r="AN50" s="62"/>
      <c r="AO50" s="54"/>
      <c r="AP50" s="54"/>
      <c r="AQ50" s="54"/>
      <c r="AR50" s="54"/>
      <c r="AS50" s="64"/>
      <c r="AT50" s="62"/>
      <c r="AV50" s="64"/>
      <c r="AW50" s="63"/>
      <c r="AX50" s="64"/>
      <c r="AY50" s="64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</row>
    <row r="51" spans="1:171" s="120" customFormat="1" ht="12.75">
      <c r="A51" s="1"/>
      <c r="B51" s="207"/>
      <c r="C51" s="165"/>
      <c r="D51" s="63"/>
      <c r="E51" s="63"/>
      <c r="F51" s="63"/>
      <c r="G51" s="63"/>
      <c r="H51" s="62"/>
      <c r="I51" s="63"/>
      <c r="J51" s="63"/>
      <c r="K51" s="63"/>
      <c r="L51" s="63"/>
      <c r="M51" s="63"/>
      <c r="N51" s="63"/>
      <c r="O51" s="63"/>
      <c r="P51" s="62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  <c r="AL51" s="62"/>
      <c r="AM51" s="62"/>
      <c r="AN51" s="62"/>
      <c r="AO51" s="54"/>
      <c r="AP51" s="54"/>
      <c r="AQ51" s="54"/>
      <c r="AR51" s="54"/>
      <c r="AS51" s="64"/>
      <c r="AT51" s="62"/>
      <c r="AV51" s="64"/>
      <c r="AW51" s="63"/>
      <c r="AX51" s="64"/>
      <c r="AY51" s="64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</row>
    <row r="52" spans="1:171" s="120" customFormat="1" ht="12.75">
      <c r="A52" s="36"/>
      <c r="B52" s="207"/>
      <c r="C52" s="165"/>
      <c r="D52" s="63"/>
      <c r="E52" s="63"/>
      <c r="F52" s="63"/>
      <c r="G52" s="63"/>
      <c r="H52" s="62"/>
      <c r="I52" s="63"/>
      <c r="J52" s="63"/>
      <c r="K52" s="63"/>
      <c r="L52" s="63"/>
      <c r="M52" s="63"/>
      <c r="N52" s="63"/>
      <c r="O52" s="63"/>
      <c r="P52" s="62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4"/>
      <c r="AL52" s="62"/>
      <c r="AM52" s="62"/>
      <c r="AN52" s="62"/>
      <c r="AO52" s="54"/>
      <c r="AP52" s="54"/>
      <c r="AQ52" s="54"/>
      <c r="AR52" s="54"/>
      <c r="AS52" s="64"/>
      <c r="AT52" s="62"/>
      <c r="AV52" s="64"/>
      <c r="AW52" s="63"/>
      <c r="AX52" s="64"/>
      <c r="AY52" s="64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</row>
    <row r="53" spans="1:171" s="120" customFormat="1" ht="12.75">
      <c r="A53" s="36"/>
      <c r="B53" s="207"/>
      <c r="C53" s="165"/>
      <c r="D53" s="63"/>
      <c r="E53" s="63"/>
      <c r="F53" s="63"/>
      <c r="G53" s="63"/>
      <c r="H53" s="62"/>
      <c r="I53" s="63"/>
      <c r="J53" s="63"/>
      <c r="K53" s="63"/>
      <c r="L53" s="63"/>
      <c r="M53" s="63"/>
      <c r="N53" s="63"/>
      <c r="O53" s="63"/>
      <c r="P53" s="62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4"/>
      <c r="AL53" s="62"/>
      <c r="AM53" s="62"/>
      <c r="AN53" s="62"/>
      <c r="AO53" s="54"/>
      <c r="AP53" s="54"/>
      <c r="AQ53" s="54"/>
      <c r="AR53" s="54"/>
      <c r="AS53" s="64"/>
      <c r="AT53" s="62"/>
      <c r="AV53" s="64"/>
      <c r="AW53" s="63"/>
      <c r="AX53" s="64"/>
      <c r="AY53" s="64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</row>
    <row r="54" spans="1:171" s="120" customFormat="1" ht="12.75">
      <c r="A54" s="32"/>
      <c r="B54" s="207"/>
      <c r="C54" s="165"/>
      <c r="D54" s="63"/>
      <c r="E54" s="63"/>
      <c r="F54" s="63"/>
      <c r="G54" s="63"/>
      <c r="H54" s="62"/>
      <c r="I54" s="63"/>
      <c r="J54" s="63"/>
      <c r="K54" s="63"/>
      <c r="L54" s="63"/>
      <c r="M54" s="63"/>
      <c r="N54" s="63"/>
      <c r="O54" s="63"/>
      <c r="P54" s="62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4"/>
      <c r="AL54" s="62"/>
      <c r="AM54" s="62"/>
      <c r="AN54" s="62"/>
      <c r="AO54" s="54"/>
      <c r="AP54" s="54"/>
      <c r="AQ54" s="54"/>
      <c r="AR54" s="54"/>
      <c r="AS54" s="64"/>
      <c r="AT54" s="62"/>
      <c r="AV54" s="64"/>
      <c r="AW54" s="63"/>
      <c r="AX54" s="64"/>
      <c r="AY54" s="64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</row>
    <row r="55" spans="1:171" s="120" customFormat="1" ht="12.75">
      <c r="A55" s="32"/>
      <c r="B55" s="207"/>
      <c r="C55" s="165"/>
      <c r="D55" s="63"/>
      <c r="E55" s="63"/>
      <c r="F55" s="63"/>
      <c r="G55" s="63"/>
      <c r="H55" s="62"/>
      <c r="I55" s="63"/>
      <c r="J55" s="63"/>
      <c r="K55" s="63"/>
      <c r="L55" s="63"/>
      <c r="M55" s="63"/>
      <c r="N55" s="63"/>
      <c r="O55" s="63"/>
      <c r="P55" s="62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4"/>
      <c r="AL55" s="62"/>
      <c r="AM55" s="62"/>
      <c r="AN55" s="62"/>
      <c r="AO55" s="54"/>
      <c r="AP55" s="54"/>
      <c r="AQ55" s="54"/>
      <c r="AR55" s="54"/>
      <c r="AS55" s="64"/>
      <c r="AT55" s="62"/>
      <c r="AV55" s="64"/>
      <c r="AW55" s="63"/>
      <c r="AX55" s="64"/>
      <c r="AY55" s="64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</row>
    <row r="56" spans="1:171" s="120" customFormat="1" ht="12.75">
      <c r="A56" s="29"/>
      <c r="B56" s="207"/>
      <c r="C56" s="165"/>
      <c r="D56" s="63"/>
      <c r="E56" s="63"/>
      <c r="F56" s="63"/>
      <c r="G56" s="63"/>
      <c r="H56" s="62"/>
      <c r="I56" s="63"/>
      <c r="J56" s="63"/>
      <c r="K56" s="63"/>
      <c r="L56" s="63"/>
      <c r="M56" s="63"/>
      <c r="N56" s="63"/>
      <c r="O56" s="63"/>
      <c r="P56" s="62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4"/>
      <c r="AL56" s="62"/>
      <c r="AM56" s="62"/>
      <c r="AN56" s="62"/>
      <c r="AO56" s="54"/>
      <c r="AP56" s="54"/>
      <c r="AQ56" s="54"/>
      <c r="AR56" s="54"/>
      <c r="AS56" s="64"/>
      <c r="AT56" s="62"/>
      <c r="AV56" s="64"/>
      <c r="AW56" s="63"/>
      <c r="AX56" s="64"/>
      <c r="AY56" s="64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</row>
    <row r="57" spans="1:171" s="120" customFormat="1" ht="12.75">
      <c r="A57" s="32"/>
      <c r="B57" s="209"/>
      <c r="C57" s="165"/>
      <c r="D57" s="63"/>
      <c r="E57" s="63"/>
      <c r="F57" s="63"/>
      <c r="G57" s="63"/>
      <c r="H57" s="62"/>
      <c r="I57" s="63"/>
      <c r="J57" s="63"/>
      <c r="K57" s="63"/>
      <c r="L57" s="63"/>
      <c r="M57" s="63"/>
      <c r="N57" s="63"/>
      <c r="O57" s="63"/>
      <c r="P57" s="62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4"/>
      <c r="AL57" s="62"/>
      <c r="AM57" s="62"/>
      <c r="AN57" s="62"/>
      <c r="AO57" s="54"/>
      <c r="AP57" s="54"/>
      <c r="AQ57" s="54"/>
      <c r="AR57" s="54"/>
      <c r="AS57" s="64"/>
      <c r="AT57" s="62"/>
      <c r="AV57" s="64"/>
      <c r="AW57" s="63"/>
      <c r="AX57" s="64"/>
      <c r="AY57" s="64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</row>
    <row r="58" spans="1:171" s="120" customFormat="1" ht="12.75">
      <c r="A58" s="32"/>
      <c r="B58" s="211"/>
      <c r="C58" s="63"/>
      <c r="D58" s="63"/>
      <c r="E58" s="63"/>
      <c r="F58" s="63"/>
      <c r="G58" s="63"/>
      <c r="H58" s="62"/>
      <c r="I58" s="63"/>
      <c r="J58" s="63"/>
      <c r="K58" s="63"/>
      <c r="L58" s="63"/>
      <c r="M58" s="63"/>
      <c r="N58" s="63"/>
      <c r="O58" s="63"/>
      <c r="P58" s="62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2"/>
      <c r="AM58" s="62"/>
      <c r="AN58" s="62"/>
      <c r="AO58" s="54"/>
      <c r="AP58" s="54"/>
      <c r="AQ58" s="54"/>
      <c r="AR58" s="54"/>
      <c r="AS58" s="63"/>
      <c r="AT58" s="63"/>
      <c r="AV58" s="63"/>
      <c r="AW58" s="63"/>
      <c r="AX58" s="64"/>
      <c r="AY58" s="64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</row>
    <row r="59" spans="1:53" ht="12.75">
      <c r="A59" s="32"/>
      <c r="B59" s="212"/>
      <c r="C59" s="54"/>
      <c r="D59" s="54"/>
      <c r="E59" s="54"/>
      <c r="F59" s="54"/>
      <c r="G59" s="54"/>
      <c r="H59" s="55"/>
      <c r="I59" s="54"/>
      <c r="J59" s="54"/>
      <c r="K59" s="54"/>
      <c r="L59" s="54"/>
      <c r="M59" s="54"/>
      <c r="N59" s="54"/>
      <c r="O59" s="54"/>
      <c r="P59" s="130"/>
      <c r="T59" s="64"/>
      <c r="U59" s="64"/>
      <c r="AL59" s="32"/>
      <c r="AM59" s="32"/>
      <c r="AN59" s="32"/>
      <c r="AO59" s="64"/>
      <c r="AP59" s="64"/>
      <c r="AQ59" s="64"/>
      <c r="AR59" s="64"/>
      <c r="AT59" s="64"/>
      <c r="AX59" s="13"/>
      <c r="AY59" s="13"/>
      <c r="AZ59" s="64"/>
      <c r="BA59" s="64"/>
    </row>
    <row r="60" spans="1:53" ht="12.75">
      <c r="A60" s="36" t="s">
        <v>212</v>
      </c>
      <c r="B60" s="205"/>
      <c r="C60" s="64"/>
      <c r="D60" s="64"/>
      <c r="E60" s="64"/>
      <c r="F60" s="64"/>
      <c r="G60" s="64"/>
      <c r="H60" s="32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32"/>
      <c r="AM60" s="32"/>
      <c r="AN60" s="32"/>
      <c r="AO60" s="64"/>
      <c r="AP60" s="64"/>
      <c r="AQ60" s="64"/>
      <c r="AR60" s="64"/>
      <c r="AS60" s="64"/>
      <c r="AT60" s="64"/>
      <c r="AU60" s="64"/>
      <c r="AV60" s="64"/>
      <c r="AW60" s="64"/>
      <c r="AX60" s="13"/>
      <c r="AY60" s="13"/>
      <c r="AZ60" s="64"/>
      <c r="BA60" s="64"/>
    </row>
    <row r="61" spans="1:53" ht="12.75">
      <c r="A61" s="36" t="s">
        <v>210</v>
      </c>
      <c r="B61" s="205"/>
      <c r="P61" s="64"/>
      <c r="T61" s="64"/>
      <c r="U61" s="64"/>
      <c r="AD61" s="64"/>
      <c r="AE61" s="64"/>
      <c r="AL61" s="32"/>
      <c r="AM61" s="32"/>
      <c r="AN61" s="32"/>
      <c r="AO61" s="64"/>
      <c r="AP61" s="64"/>
      <c r="AQ61" s="64"/>
      <c r="AR61" s="64"/>
      <c r="AT61" s="64"/>
      <c r="AU61" s="64"/>
      <c r="AW61" s="64"/>
      <c r="AX61" s="13"/>
      <c r="AY61" s="13"/>
      <c r="AZ61" s="64"/>
      <c r="BA61" s="64"/>
    </row>
    <row r="62" spans="1:53" ht="12.75">
      <c r="A62" s="32" t="s">
        <v>282</v>
      </c>
      <c r="B62" s="205"/>
      <c r="C62" s="121">
        <f>+'5.1. Personal Pension.'!B36-'5.1. Personal Pension.'!B45</f>
        <v>-97965.474</v>
      </c>
      <c r="D62" s="121">
        <f>+'5.1. Personal Pension.'!C36-'5.1. Personal Pension.'!C45</f>
        <v>6640.018999999999</v>
      </c>
      <c r="E62" s="121">
        <f>+'5.1. Personal Pension.'!D36-'5.1. Personal Pension.'!D45</f>
        <v>2278.077</v>
      </c>
      <c r="F62" s="121">
        <f>+'5.1. Personal Pension.'!E36-'5.1. Personal Pension.'!E45</f>
        <v>-6198</v>
      </c>
      <c r="G62" s="121">
        <f>+'5.1. Personal Pension.'!F36-'5.1. Personal Pension.'!F45</f>
        <v>9797.371000000001</v>
      </c>
      <c r="H62" s="122">
        <f>+'5.1. Personal Pension.'!G36-'5.1. Personal Pension.'!G45</f>
        <v>8302.873</v>
      </c>
      <c r="I62" s="121">
        <f>+'5.1. Personal Pension.'!H36-'5.1. Personal Pension.'!H45</f>
        <v>-1940.069</v>
      </c>
      <c r="J62" s="121">
        <f>+'5.1. Personal Pension.'!I36-'5.1. Personal Pension.'!I45</f>
        <v>126.655</v>
      </c>
      <c r="K62" s="121">
        <f>+'5.1. Personal Pension.'!J36-'5.1. Personal Pension.'!J45</f>
        <v>122.387</v>
      </c>
      <c r="L62" s="121">
        <f>+'5.1. Personal Pension.'!K36-'5.1. Personal Pension.'!K45</f>
        <v>-1963</v>
      </c>
      <c r="M62" s="121">
        <f>+'5.1. Personal Pension.'!L36-'5.1. Personal Pension.'!L45</f>
        <v>24112</v>
      </c>
      <c r="N62" s="121">
        <f>+'5.1. Personal Pension.'!M36-'5.1. Personal Pension.'!M45</f>
        <v>13438</v>
      </c>
      <c r="O62" s="121">
        <f>+'5.1. Personal Pension.'!N36-'5.1. Personal Pension.'!N45</f>
        <v>24281</v>
      </c>
      <c r="P62" s="121">
        <f>+'5.1. Personal Pension.'!O36-'5.1. Personal Pension.'!O45</f>
        <v>620</v>
      </c>
      <c r="Q62" s="121">
        <f>+'5.1. Personal Pension.'!P36-'5.1. Personal Pension.'!P45</f>
        <v>-1316526</v>
      </c>
      <c r="R62" s="121">
        <f>+'5.1. Personal Pension.'!Q36-'5.1. Personal Pension.'!Q45</f>
        <v>17293</v>
      </c>
      <c r="S62" s="121">
        <f>+'5.1. Personal Pension.'!R36-'5.1. Personal Pension.'!R45</f>
        <v>66774</v>
      </c>
      <c r="T62" s="121">
        <f>+'5.1. Personal Pension.'!S36-'5.1. Personal Pension.'!S45</f>
        <v>-10392</v>
      </c>
      <c r="U62" s="121">
        <f>+'5.1. Personal Pension.'!T36-'5.1. Personal Pension.'!T45</f>
        <v>2109</v>
      </c>
      <c r="V62" s="121">
        <f>+'5.1. Personal Pension.'!U36-'5.1. Personal Pension.'!U45</f>
        <v>25405</v>
      </c>
      <c r="W62" s="121">
        <f>+'5.1. Personal Pension.'!V36-'5.1. Personal Pension.'!V45</f>
        <v>104.30199999999999</v>
      </c>
      <c r="X62" s="121">
        <f>+'5.1. Personal Pension.'!W36-'5.1. Personal Pension.'!W45</f>
        <v>3159</v>
      </c>
      <c r="Y62" s="121">
        <f>+'5.1. Personal Pension.'!X36-'5.1. Personal Pension.'!X45</f>
        <v>-233365.919</v>
      </c>
      <c r="Z62" s="121">
        <f>+'5.1. Personal Pension.'!Y36-'5.1. Personal Pension.'!Y45</f>
        <v>-360140.432</v>
      </c>
      <c r="AA62" s="121">
        <f>+'5.1. Personal Pension.'!Z36-'5.1. Personal Pension.'!Z45</f>
        <v>26572.385</v>
      </c>
      <c r="AB62" s="121">
        <f>+'5.1. Personal Pension.'!AA36-'5.1. Personal Pension.'!AA45</f>
        <v>964.224</v>
      </c>
      <c r="AC62" s="121">
        <f>+'5.1. Personal Pension.'!AB36-'5.1. Personal Pension.'!AB45</f>
        <v>21207.459</v>
      </c>
      <c r="AD62" s="121">
        <f>+'5.1. Personal Pension.'!AC36-'5.1. Personal Pension.'!AC45</f>
        <v>357.1</v>
      </c>
      <c r="AE62" s="121">
        <f>+'5.1. Personal Pension.'!AD36-'5.1. Personal Pension.'!AD45</f>
        <v>466.09999999999997</v>
      </c>
      <c r="AF62" s="121">
        <f>+'5.1. Personal Pension.'!AE36-'5.1. Personal Pension.'!AE45</f>
        <v>192</v>
      </c>
      <c r="AG62" s="121">
        <f>+'5.1. Personal Pension.'!AF36-'5.1. Personal Pension.'!AF45</f>
        <v>-99</v>
      </c>
      <c r="AH62" s="121">
        <f>+'5.1. Personal Pension.'!AG36-'5.1. Personal Pension.'!AG45</f>
        <v>-273651</v>
      </c>
      <c r="AI62" s="121">
        <f>+'5.1. Personal Pension.'!AH36-'5.1. Personal Pension.'!AH45</f>
        <v>-40943.492</v>
      </c>
      <c r="AJ62" s="121">
        <f>+'5.1. Personal Pension.'!AI36-'5.1. Personal Pension.'!AI45</f>
        <v>49859.788</v>
      </c>
      <c r="AK62" s="121">
        <f>+'5.1. Personal Pension.'!AJ36-'5.1. Personal Pension.'!AJ45</f>
        <v>43385.32000000001</v>
      </c>
      <c r="AL62" s="122">
        <f>+'5.1. Personal Pension.'!AK36-'5.1. Personal Pension.'!AK45</f>
        <v>-8580</v>
      </c>
      <c r="AM62" s="122">
        <f>+'5.1. Personal Pension.'!AL36-'5.1. Personal Pension.'!AL45</f>
        <v>881</v>
      </c>
      <c r="AN62" s="122">
        <f>+'5.1. Personal Pension.'!AM36-'5.1. Personal Pension.'!AM45</f>
        <v>348</v>
      </c>
      <c r="AO62" s="121">
        <f>+'5.1. Personal Pension.'!AN36-'5.1. Personal Pension.'!AN45</f>
        <v>10464</v>
      </c>
      <c r="AP62" s="121">
        <f>+'5.1. Personal Pension.'!AO36-'5.1. Personal Pension.'!AO45</f>
        <v>-18745</v>
      </c>
      <c r="AQ62" s="121">
        <f>+'5.1. Personal Pension.'!AP36-'5.1. Personal Pension.'!AP45</f>
        <v>-48795.3</v>
      </c>
      <c r="AR62" s="121">
        <f>+'5.1. Personal Pension.'!AQ36-'5.1. Personal Pension.'!AQ45</f>
        <v>299</v>
      </c>
      <c r="AS62" s="121">
        <f>+'5.1. Personal Pension.'!AR36-'5.1. Personal Pension.'!AR45</f>
        <v>-69.5</v>
      </c>
      <c r="AT62" s="121">
        <f>+'5.1. Personal Pension.'!AS36-'5.1. Personal Pension.'!AS45</f>
        <v>68888</v>
      </c>
      <c r="AU62" s="121"/>
      <c r="AV62" s="121">
        <f>+'5.1. Personal Pension.'!AU36-'5.1. Personal Pension.'!AU45</f>
        <v>-1990927.126</v>
      </c>
      <c r="AW62" s="93"/>
      <c r="AX62" s="29"/>
      <c r="AY62" s="29"/>
      <c r="AZ62" s="64"/>
      <c r="BA62" s="64"/>
    </row>
    <row r="63" spans="1:53" ht="12.75">
      <c r="A63" s="32" t="s">
        <v>283</v>
      </c>
      <c r="B63" s="205"/>
      <c r="C63" s="89">
        <f>+'5.1. Personal Pension.'!B51-'5.1. Personal Pension.'!B53+'5.1. Personal Pension.'!B55</f>
        <v>388.361</v>
      </c>
      <c r="D63" s="89">
        <f>+'5.1. Personal Pension.'!C51-'5.1. Personal Pension.'!C53+'5.1. Personal Pension.'!C55</f>
        <v>0</v>
      </c>
      <c r="E63" s="89">
        <f>+'5.1. Personal Pension.'!D51-'5.1. Personal Pension.'!D53+'5.1. Personal Pension.'!D55</f>
        <v>0</v>
      </c>
      <c r="F63" s="89">
        <f>+'5.1. Personal Pension.'!E51-'5.1. Personal Pension.'!E53+'5.1. Personal Pension.'!E55</f>
        <v>334</v>
      </c>
      <c r="G63" s="89">
        <f>+'5.1. Personal Pension.'!F51-'5.1. Personal Pension.'!F53+'5.1. Personal Pension.'!F55</f>
        <v>1121.454</v>
      </c>
      <c r="H63" s="42">
        <f>+'5.1. Personal Pension.'!G51-'5.1. Personal Pension.'!G53+'5.1. Personal Pension.'!G55</f>
        <v>678.901</v>
      </c>
      <c r="I63" s="89">
        <f>+'5.1. Personal Pension.'!H51-'5.1. Personal Pension.'!H53+'5.1. Personal Pension.'!H55</f>
        <v>0</v>
      </c>
      <c r="J63" s="89">
        <f>+'5.1. Personal Pension.'!I51-'5.1. Personal Pension.'!I53+'5.1. Personal Pension.'!I55</f>
        <v>0</v>
      </c>
      <c r="K63" s="89">
        <f>+'5.1. Personal Pension.'!J51-'5.1. Personal Pension.'!J53+'5.1. Personal Pension.'!J55</f>
        <v>0</v>
      </c>
      <c r="L63" s="89">
        <f>+'5.1. Personal Pension.'!K51-'5.1. Personal Pension.'!K53+'5.1. Personal Pension.'!K55</f>
        <v>294</v>
      </c>
      <c r="M63" s="89">
        <f>+'5.1. Personal Pension.'!L51-'5.1. Personal Pension.'!L53+'5.1. Personal Pension.'!L55</f>
        <v>799</v>
      </c>
      <c r="N63" s="89">
        <f>+'5.1. Personal Pension.'!M51-'5.1. Personal Pension.'!M53+'5.1. Personal Pension.'!M55</f>
        <v>346</v>
      </c>
      <c r="O63" s="89">
        <f>+'5.1. Personal Pension.'!N51-'5.1. Personal Pension.'!N53+'5.1. Personal Pension.'!N55</f>
        <v>812</v>
      </c>
      <c r="P63" s="89">
        <f>+'5.1. Personal Pension.'!O51-'5.1. Personal Pension.'!O53+'5.1. Personal Pension.'!O55</f>
        <v>175</v>
      </c>
      <c r="Q63" s="89">
        <f>+'5.1. Personal Pension.'!P51-'5.1. Personal Pension.'!P53+'5.1. Personal Pension.'!P55</f>
        <v>34860</v>
      </c>
      <c r="R63" s="89">
        <f>+'5.1. Personal Pension.'!Q51-'5.1. Personal Pension.'!Q53+'5.1. Personal Pension.'!Q55</f>
        <v>821</v>
      </c>
      <c r="S63" s="89">
        <f>+'5.1. Personal Pension.'!R51-'5.1. Personal Pension.'!R53+'5.1. Personal Pension.'!R55</f>
        <v>1642</v>
      </c>
      <c r="T63" s="89">
        <f>+'5.1. Personal Pension.'!S51-'5.1. Personal Pension.'!S53+'5.1. Personal Pension.'!S55</f>
        <v>303</v>
      </c>
      <c r="U63" s="89">
        <f>+'5.1. Personal Pension.'!T51-'5.1. Personal Pension.'!T53+'5.1. Personal Pension.'!T55</f>
        <v>200</v>
      </c>
      <c r="V63" s="89">
        <f>+'5.1. Personal Pension.'!U51-'5.1. Personal Pension.'!U53+'5.1. Personal Pension.'!U55</f>
        <v>4791</v>
      </c>
      <c r="W63" s="89">
        <f>+'5.1. Personal Pension.'!V51-'5.1. Personal Pension.'!V53+'5.1. Personal Pension.'!V55</f>
        <v>0</v>
      </c>
      <c r="X63" s="89">
        <f>+'5.1. Personal Pension.'!W51-'5.1. Personal Pension.'!W53+'5.1. Personal Pension.'!W55</f>
        <v>321</v>
      </c>
      <c r="Y63" s="89">
        <f>+'5.1. Personal Pension.'!X51-'5.1. Personal Pension.'!X53+'5.1. Personal Pension.'!X55</f>
        <v>5963.33</v>
      </c>
      <c r="Z63" s="89">
        <f>+'5.1. Personal Pension.'!Y51-'5.1. Personal Pension.'!Y53+'5.1. Personal Pension.'!Y55</f>
        <v>17553.847</v>
      </c>
      <c r="AA63" s="89">
        <f>+'5.1. Personal Pension.'!Z51-'5.1. Personal Pension.'!Z53+'5.1. Personal Pension.'!Z55</f>
        <v>1495.993</v>
      </c>
      <c r="AB63" s="89">
        <f>+'5.1. Personal Pension.'!AA51-'5.1. Personal Pension.'!AA53+'5.1. Personal Pension.'!AA55</f>
        <v>70.969</v>
      </c>
      <c r="AC63" s="89">
        <f>+'5.1. Personal Pension.'!AB51-'5.1. Personal Pension.'!AB53+'5.1. Personal Pension.'!AB55</f>
        <v>1147.374</v>
      </c>
      <c r="AD63" s="89">
        <f>+'5.1. Personal Pension.'!AC51-'5.1. Personal Pension.'!AC53+'5.1. Personal Pension.'!AC55</f>
        <v>25.7</v>
      </c>
      <c r="AE63" s="89">
        <f>+'5.1. Personal Pension.'!AD51-'5.1. Personal Pension.'!AD53+'5.1. Personal Pension.'!AD55</f>
        <v>55.2</v>
      </c>
      <c r="AF63" s="89">
        <f>+'5.1. Personal Pension.'!AE51-'5.1. Personal Pension.'!AE53+'5.1. Personal Pension.'!AE55</f>
        <v>91.7</v>
      </c>
      <c r="AG63" s="89">
        <f>+'5.1. Personal Pension.'!AF51-'5.1. Personal Pension.'!AF53+'5.1. Personal Pension.'!AF55</f>
        <v>0</v>
      </c>
      <c r="AH63" s="89">
        <f>+'5.1. Personal Pension.'!AG51-'5.1. Personal Pension.'!AG53+'5.1. Personal Pension.'!AG55</f>
        <v>5070.4</v>
      </c>
      <c r="AI63" s="89">
        <f>+'5.1. Personal Pension.'!AH51-'5.1. Personal Pension.'!AH53+'5.1. Personal Pension.'!AH55</f>
        <v>8360.286</v>
      </c>
      <c r="AJ63" s="89">
        <f>+'5.1. Personal Pension.'!AI51-'5.1. Personal Pension.'!AI53+'5.1. Personal Pension.'!AI55</f>
        <v>11494.313</v>
      </c>
      <c r="AK63" s="89">
        <f>+'5.1. Personal Pension.'!AJ51-'5.1. Personal Pension.'!AJ53+'5.1. Personal Pension.'!AJ55</f>
        <v>3500.6150000000002</v>
      </c>
      <c r="AL63" s="42">
        <f>+'5.1. Personal Pension.'!AK51-'5.1. Personal Pension.'!AK53+'5.1. Personal Pension.'!AK55</f>
        <v>0</v>
      </c>
      <c r="AM63" s="42">
        <f>+'5.1. Personal Pension.'!AL51-'5.1. Personal Pension.'!AL53+'5.1. Personal Pension.'!AL55</f>
        <v>0</v>
      </c>
      <c r="AN63" s="42">
        <f>+'5.1. Personal Pension.'!AM51-'5.1. Personal Pension.'!AM53+'5.1. Personal Pension.'!AM55</f>
        <v>0</v>
      </c>
      <c r="AO63" s="89">
        <f>+'5.1. Personal Pension.'!AN51-'5.1. Personal Pension.'!AN53+'5.1. Personal Pension.'!AN55</f>
        <v>836</v>
      </c>
      <c r="AP63" s="89">
        <f>+'5.1. Personal Pension.'!AO51-'5.1. Personal Pension.'!AO53+'5.1. Personal Pension.'!AO55</f>
        <v>3305</v>
      </c>
      <c r="AQ63" s="89">
        <f>+'5.1. Personal Pension.'!AP51-'5.1. Personal Pension.'!AP53+'5.1. Personal Pension.'!AP55</f>
        <v>2188.9</v>
      </c>
      <c r="AR63" s="89">
        <f>+'5.1. Personal Pension.'!AQ51-'5.1. Personal Pension.'!AQ53+'5.1. Personal Pension.'!AQ55</f>
        <v>0</v>
      </c>
      <c r="AS63" s="89">
        <f>+'5.1. Personal Pension.'!AR51-'5.1. Personal Pension.'!AR53+'5.1. Personal Pension.'!AR55</f>
        <v>0</v>
      </c>
      <c r="AT63" s="89">
        <f>+'5.1. Personal Pension.'!AS51-'5.1. Personal Pension.'!AS53+'5.1. Personal Pension.'!AS55</f>
        <v>2110</v>
      </c>
      <c r="AU63" s="89"/>
      <c r="AV63" s="89">
        <f>+'5.1. Personal Pension.'!AU51-'5.1. Personal Pension.'!AU53+'5.1. Personal Pension.'!AU55</f>
        <v>111156.34300000001</v>
      </c>
      <c r="AW63" s="29"/>
      <c r="AX63" s="29"/>
      <c r="AY63" s="29"/>
      <c r="AZ63" s="64"/>
      <c r="BA63" s="64"/>
    </row>
    <row r="64" spans="1:53" ht="12.75">
      <c r="A64" s="29"/>
      <c r="B64" s="205"/>
      <c r="AU64" s="64"/>
      <c r="AV64" s="29"/>
      <c r="AW64" s="29"/>
      <c r="AX64" s="29"/>
      <c r="AY64" s="29"/>
      <c r="AZ64" s="64"/>
      <c r="BA64" s="64"/>
    </row>
    <row r="65" spans="1:53" ht="12.75">
      <c r="A65" s="32" t="s">
        <v>213</v>
      </c>
      <c r="B65" s="205"/>
      <c r="C65" s="121">
        <f>+'5.1. Personal Pension.'!B68+'5.1. Personal Pension.'!B71-('5.2 Ratios (Personal Pen.)'!C62-'5.2 Ratios (Personal Pen.)'!C63)</f>
        <v>2241826.482</v>
      </c>
      <c r="D65" s="121">
        <f>+'5.1. Personal Pension.'!C68+'5.1. Personal Pension.'!C71-('5.2 Ratios (Personal Pen.)'!D62-'5.2 Ratios (Personal Pen.)'!D63)</f>
        <v>188071.676</v>
      </c>
      <c r="E65" s="121">
        <f>+'5.1. Personal Pension.'!D68+'5.1. Personal Pension.'!D71-('5.2 Ratios (Personal Pen.)'!E62-'5.2 Ratios (Personal Pen.)'!E63)</f>
        <v>76997.642</v>
      </c>
      <c r="F65" s="121">
        <f>+'5.1. Personal Pension.'!E68+'5.1. Personal Pension.'!E71-('5.2 Ratios (Personal Pen.)'!F62-'5.2 Ratios (Personal Pen.)'!F63)</f>
        <v>1700280</v>
      </c>
      <c r="G65" s="121">
        <f>+'5.1. Personal Pension.'!F68+'5.1. Personal Pension.'!F71-('5.2 Ratios (Personal Pen.)'!G62-'5.2 Ratios (Personal Pen.)'!G63)</f>
        <v>187255.06800000003</v>
      </c>
      <c r="H65" s="122">
        <f>+'5.1. Personal Pension.'!G68+'5.1. Personal Pension.'!G71-('5.2 Ratios (Personal Pen.)'!H62-'5.2 Ratios (Personal Pen.)'!H63)</f>
        <v>158359.641</v>
      </c>
      <c r="I65" s="121">
        <f>+'5.1. Personal Pension.'!H68+'5.1. Personal Pension.'!H71-('5.2 Ratios (Personal Pen.)'!I62-'5.2 Ratios (Personal Pen.)'!I63)</f>
        <v>90439.58700000001</v>
      </c>
      <c r="J65" s="121">
        <f>+'5.1. Personal Pension.'!I68+'5.1. Personal Pension.'!I71-('5.2 Ratios (Personal Pen.)'!J62-'5.2 Ratios (Personal Pen.)'!J63)</f>
        <v>3800.8329999999996</v>
      </c>
      <c r="K65" s="121">
        <f>+'5.1. Personal Pension.'!J68+'5.1. Personal Pension.'!J71-('5.2 Ratios (Personal Pen.)'!K62-'5.2 Ratios (Personal Pen.)'!K63)</f>
        <v>5797.053</v>
      </c>
      <c r="L65" s="121">
        <f>+'5.1. Personal Pension.'!K68+'5.1. Personal Pension.'!K71-('5.2 Ratios (Personal Pen.)'!L62-'5.2 Ratios (Personal Pen.)'!L63)</f>
        <v>195136</v>
      </c>
      <c r="M65" s="121">
        <f>+'5.1. Personal Pension.'!L68+'5.1. Personal Pension.'!L71-('5.2 Ratios (Personal Pen.)'!M62-'5.2 Ratios (Personal Pen.)'!M63)</f>
        <v>598242</v>
      </c>
      <c r="N65" s="121">
        <f>+'5.1. Personal Pension.'!M68+'5.1. Personal Pension.'!M71-('5.2 Ratios (Personal Pen.)'!N62-'5.2 Ratios (Personal Pen.)'!N63)</f>
        <v>191141</v>
      </c>
      <c r="O65" s="121">
        <f>+'5.1. Personal Pension.'!N68+'5.1. Personal Pension.'!N71-('5.2 Ratios (Personal Pen.)'!O62-'5.2 Ratios (Personal Pen.)'!O63)</f>
        <v>452943</v>
      </c>
      <c r="P65" s="121">
        <f>+'5.1. Personal Pension.'!O68+'5.1. Personal Pension.'!O71-('5.2 Ratios (Personal Pen.)'!P62-'5.2 Ratios (Personal Pen.)'!P63)</f>
        <v>112051</v>
      </c>
      <c r="Q65" s="121">
        <f>+'5.1. Personal Pension.'!P68+'5.1. Personal Pension.'!P71-('5.2 Ratios (Personal Pen.)'!Q62-'5.2 Ratios (Personal Pen.)'!Q63)</f>
        <v>33408433</v>
      </c>
      <c r="R65" s="121">
        <f>+'5.1. Personal Pension.'!Q68+'5.1. Personal Pension.'!Q71-('5.2 Ratios (Personal Pen.)'!R62-'5.2 Ratios (Personal Pen.)'!R63)</f>
        <v>689547</v>
      </c>
      <c r="S65" s="121">
        <f>+'5.1. Personal Pension.'!R68+'5.1. Personal Pension.'!R71-('5.2 Ratios (Personal Pen.)'!S62-'5.2 Ratios (Personal Pen.)'!S63)</f>
        <v>1802690</v>
      </c>
      <c r="T65" s="121">
        <f>+'5.1. Personal Pension.'!S68+'5.1. Personal Pension.'!S71-('5.2 Ratios (Personal Pen.)'!T62-'5.2 Ratios (Personal Pen.)'!T63)</f>
        <v>258998</v>
      </c>
      <c r="U65" s="121">
        <f>+'5.1. Personal Pension.'!T68+'5.1. Personal Pension.'!T71-('5.2 Ratios (Personal Pen.)'!U62-'5.2 Ratios (Personal Pen.)'!U63)</f>
        <v>84827</v>
      </c>
      <c r="V65" s="121">
        <f>+'5.1. Personal Pension.'!U68+'5.1. Personal Pension.'!U71-('5.2 Ratios (Personal Pen.)'!V62-'5.2 Ratios (Personal Pen.)'!V63)</f>
        <v>1476124</v>
      </c>
      <c r="W65" s="121">
        <f>+'5.1. Personal Pension.'!V68+'5.1. Personal Pension.'!V71-('5.2 Ratios (Personal Pen.)'!W62-'5.2 Ratios (Personal Pen.)'!W63)</f>
        <v>6978.042000000001</v>
      </c>
      <c r="X65" s="121">
        <f>+'5.1. Personal Pension.'!W68+'5.1. Personal Pension.'!W71-('5.2 Ratios (Personal Pen.)'!X62-'5.2 Ratios (Personal Pen.)'!X63)</f>
        <v>63436</v>
      </c>
      <c r="Y65" s="121">
        <f>+'5.1. Personal Pension.'!X68+'5.1. Personal Pension.'!X71-('5.2 Ratios (Personal Pen.)'!Y62-'5.2 Ratios (Personal Pen.)'!Y63)</f>
        <v>5100590.104</v>
      </c>
      <c r="Z65" s="121">
        <f>+'5.1. Personal Pension.'!Y68+'5.1. Personal Pension.'!Y71-('5.2 Ratios (Personal Pen.)'!Z62-'5.2 Ratios (Personal Pen.)'!Z63)</f>
        <v>14956152.704999998</v>
      </c>
      <c r="AA65" s="121">
        <f>+'5.1. Personal Pension.'!Z68+'5.1. Personal Pension.'!Z71-('5.2 Ratios (Personal Pen.)'!AA62-'5.2 Ratios (Personal Pen.)'!AA63)</f>
        <v>1217344.5890000002</v>
      </c>
      <c r="AB65" s="121">
        <f>+'5.1. Personal Pension.'!AA68+'5.1. Personal Pension.'!AA71-('5.2 Ratios (Personal Pen.)'!AB62-'5.2 Ratios (Personal Pen.)'!AB63)</f>
        <v>149328.22299999994</v>
      </c>
      <c r="AC65" s="121">
        <f>+'5.1. Personal Pension.'!AB68+'5.1. Personal Pension.'!AB71-('5.2 Ratios (Personal Pen.)'!AC62-'5.2 Ratios (Personal Pen.)'!AC63)</f>
        <v>541089.067</v>
      </c>
      <c r="AD65" s="121">
        <f>+'5.1. Personal Pension.'!AC68+'5.1. Personal Pension.'!AC71-('5.2 Ratios (Personal Pen.)'!AD62-'5.2 Ratios (Personal Pen.)'!AD63)</f>
        <v>8529.1</v>
      </c>
      <c r="AE65" s="121">
        <f>+'5.1. Personal Pension.'!AD68+'5.1. Personal Pension.'!AD71-('5.2 Ratios (Personal Pen.)'!AE62-'5.2 Ratios (Personal Pen.)'!AE63)</f>
        <v>25789.099999999995</v>
      </c>
      <c r="AF65" s="121">
        <f>+'5.1. Personal Pension.'!AE68+'5.1. Personal Pension.'!AE71-('5.2 Ratios (Personal Pen.)'!AF62-'5.2 Ratios (Personal Pen.)'!AF63)</f>
        <v>19562</v>
      </c>
      <c r="AG65" s="121">
        <f>+'5.1. Personal Pension.'!AF68+'5.1. Personal Pension.'!AF71-('5.2 Ratios (Personal Pen.)'!AG62-'5.2 Ratios (Personal Pen.)'!AG63)</f>
        <v>8906</v>
      </c>
      <c r="AH65" s="121">
        <f>+'5.1. Personal Pension.'!AG68+'5.1. Personal Pension.'!AG71-('5.2 Ratios (Personal Pen.)'!AH62-'5.2 Ratios (Personal Pen.)'!AH63)</f>
        <v>10944264.8</v>
      </c>
      <c r="AI65" s="121">
        <f>+'5.1. Personal Pension.'!AH68+'5.1. Personal Pension.'!AH71-('5.2 Ratios (Personal Pen.)'!AI62-'5.2 Ratios (Personal Pen.)'!AI63)</f>
        <v>3819043.7999999993</v>
      </c>
      <c r="AJ65" s="121">
        <f>+'5.1. Personal Pension.'!AI68+'5.1. Personal Pension.'!AI71-('5.2 Ratios (Personal Pen.)'!AJ62-'5.2 Ratios (Personal Pen.)'!AJ63)</f>
        <v>4861179.363</v>
      </c>
      <c r="AK65" s="121">
        <f>+'5.1. Personal Pension.'!AJ68+'5.1. Personal Pension.'!AJ71-('5.2 Ratios (Personal Pen.)'!AK62-'5.2 Ratios (Personal Pen.)'!AK63)</f>
        <v>1391901.097</v>
      </c>
      <c r="AL65" s="122">
        <f>+'5.1. Personal Pension.'!AK68+'5.1. Personal Pension.'!AK71-('5.2 Ratios (Personal Pen.)'!AL62-'5.2 Ratios (Personal Pen.)'!AL63)</f>
        <v>298488</v>
      </c>
      <c r="AM65" s="122">
        <f>+'5.1. Personal Pension.'!AL68+'5.1. Personal Pension.'!AL71-('5.2 Ratios (Personal Pen.)'!AM62-'5.2 Ratios (Personal Pen.)'!AM63)</f>
        <v>19886</v>
      </c>
      <c r="AN65" s="122">
        <f>+'5.1. Personal Pension.'!AM68+'5.1. Personal Pension.'!AM71-('5.2 Ratios (Personal Pen.)'!AN62-'5.2 Ratios (Personal Pen.)'!AN63)</f>
        <v>11592</v>
      </c>
      <c r="AO65" s="121">
        <f>+'5.1. Personal Pension.'!AN68+'5.1. Personal Pension.'!AN71-('5.2 Ratios (Personal Pen.)'!AO62-'5.2 Ratios (Personal Pen.)'!AO63)</f>
        <v>704119</v>
      </c>
      <c r="AP65" s="121">
        <f>+'5.1. Personal Pension.'!AO68+'5.1. Personal Pension.'!AO71-('5.2 Ratios (Personal Pen.)'!AP62-'5.2 Ratios (Personal Pen.)'!AP63)</f>
        <v>2629963</v>
      </c>
      <c r="AQ65" s="121">
        <f>+'5.1. Personal Pension.'!AP68+'5.1. Personal Pension.'!AP71-('5.2 Ratios (Personal Pen.)'!AQ62-'5.2 Ratios (Personal Pen.)'!AQ63)</f>
        <v>1663060</v>
      </c>
      <c r="AR65" s="121">
        <f>+'5.1. Personal Pension.'!AQ68+'5.1. Personal Pension.'!AQ71-('5.2 Ratios (Personal Pen.)'!AR62-'5.2 Ratios (Personal Pen.)'!AR63)</f>
        <v>60581</v>
      </c>
      <c r="AS65" s="121">
        <f>+'5.1. Personal Pension.'!AR68+'5.1. Personal Pension.'!AR71-('5.2 Ratios (Personal Pen.)'!AS62-'5.2 Ratios (Personal Pen.)'!AS63)</f>
        <v>2491.4</v>
      </c>
      <c r="AT65" s="121">
        <f>+'5.1. Personal Pension.'!AS68+'5.1. Personal Pension.'!AS71-('5.2 Ratios (Personal Pen.)'!AT62-'5.2 Ratios (Personal Pen.)'!AT63)</f>
        <v>2309758</v>
      </c>
      <c r="AU65" s="121"/>
      <c r="AV65" s="121">
        <f>+'5.1. Personal Pension.'!AU68+'5.1. Personal Pension.'!AU71-('5.2 Ratios (Personal Pen.)'!AV62-'5.2 Ratios (Personal Pen.)'!AV63)</f>
        <v>94736992.372</v>
      </c>
      <c r="AW65" s="121"/>
      <c r="AX65" s="121"/>
      <c r="AY65" s="29"/>
      <c r="AZ65" s="64"/>
      <c r="BA65" s="64"/>
    </row>
    <row r="66" spans="1:53" ht="12.75">
      <c r="A66" s="32" t="s">
        <v>284</v>
      </c>
      <c r="B66" s="205"/>
      <c r="AU66" s="64"/>
      <c r="AV66" s="29"/>
      <c r="AW66" s="29"/>
      <c r="AX66" s="29"/>
      <c r="AY66" s="29"/>
      <c r="AZ66" s="64"/>
      <c r="BA66" s="64"/>
    </row>
    <row r="67" spans="1:53" ht="12.75">
      <c r="A67" s="32" t="s">
        <v>214</v>
      </c>
      <c r="B67" s="205"/>
      <c r="C67" s="66">
        <f>(2*(C62-C63))/C65</f>
        <v>-0.08774437788981387</v>
      </c>
      <c r="D67" s="66">
        <f aca="true" t="shared" si="8" ref="D67:AV67">(2*(D62-D63))/D65</f>
        <v>0.070611578959928</v>
      </c>
      <c r="E67" s="66">
        <f t="shared" si="8"/>
        <v>0.059172643234970755</v>
      </c>
      <c r="F67" s="66">
        <f t="shared" si="8"/>
        <v>-0.007683440374526548</v>
      </c>
      <c r="G67" s="66">
        <f t="shared" si="8"/>
        <v>0.09266416223244756</v>
      </c>
      <c r="H67" s="66">
        <f t="shared" si="8"/>
        <v>0.09628680580300128</v>
      </c>
      <c r="I67" s="66">
        <f t="shared" si="8"/>
        <v>-0.04290309286794951</v>
      </c>
      <c r="J67" s="66">
        <f t="shared" si="8"/>
        <v>0.06664591682928453</v>
      </c>
      <c r="K67" s="66">
        <f t="shared" si="8"/>
        <v>0.04222386788597586</v>
      </c>
      <c r="L67" s="66">
        <f t="shared" si="8"/>
        <v>-0.023132584453919317</v>
      </c>
      <c r="M67" s="66">
        <f t="shared" si="8"/>
        <v>0.07793835939302156</v>
      </c>
      <c r="N67" s="66">
        <f t="shared" si="8"/>
        <v>0.13698787805860596</v>
      </c>
      <c r="O67" s="66">
        <f t="shared" si="8"/>
        <v>0.10362893344195627</v>
      </c>
      <c r="P67" s="66">
        <f t="shared" si="8"/>
        <v>0.007942811755361398</v>
      </c>
      <c r="Q67" s="66">
        <f t="shared" si="8"/>
        <v>-0.08090089110135755</v>
      </c>
      <c r="R67" s="66">
        <f t="shared" si="8"/>
        <v>0.04777629371166867</v>
      </c>
      <c r="S67" s="66">
        <f t="shared" si="8"/>
        <v>0.07226089898984296</v>
      </c>
      <c r="T67" s="66">
        <f t="shared" si="8"/>
        <v>-0.08258751032826508</v>
      </c>
      <c r="U67" s="66">
        <f t="shared" si="8"/>
        <v>0.04500925412899195</v>
      </c>
      <c r="V67" s="66">
        <f t="shared" si="8"/>
        <v>0.027929902907885787</v>
      </c>
      <c r="W67" s="66">
        <f t="shared" si="8"/>
        <v>0.029894345720475737</v>
      </c>
      <c r="X67" s="66">
        <f t="shared" si="8"/>
        <v>0.08947600731445866</v>
      </c>
      <c r="Y67" s="66">
        <f t="shared" si="8"/>
        <v>-0.0938437491035841</v>
      </c>
      <c r="Z67" s="66">
        <f t="shared" si="8"/>
        <v>-0.05050687652764241</v>
      </c>
      <c r="AA67" s="66">
        <f t="shared" si="8"/>
        <v>0.0411985106379768</v>
      </c>
      <c r="AB67" s="66">
        <f t="shared" si="8"/>
        <v>0.011963646014859502</v>
      </c>
      <c r="AC67" s="66">
        <f t="shared" si="8"/>
        <v>0.07414707198288299</v>
      </c>
      <c r="AD67" s="66">
        <f t="shared" si="8"/>
        <v>0.07771042665697436</v>
      </c>
      <c r="AE67" s="66">
        <f t="shared" si="8"/>
        <v>0.03186617602010152</v>
      </c>
      <c r="AF67" s="66">
        <f t="shared" si="8"/>
        <v>0.010254575196810141</v>
      </c>
      <c r="AG67" s="66">
        <f t="shared" si="8"/>
        <v>-0.022232203009207276</v>
      </c>
      <c r="AH67" s="66">
        <f t="shared" si="8"/>
        <v>-0.050934695951435675</v>
      </c>
      <c r="AI67" s="66">
        <f t="shared" si="8"/>
        <v>-0.02581995943591954</v>
      </c>
      <c r="AJ67" s="66">
        <f t="shared" si="8"/>
        <v>0.01578443095188463</v>
      </c>
      <c r="AK67" s="66">
        <f t="shared" si="8"/>
        <v>0.05730968254276763</v>
      </c>
      <c r="AL67" s="66">
        <f t="shared" si="8"/>
        <v>-0.05748974833159122</v>
      </c>
      <c r="AM67" s="66">
        <f t="shared" si="8"/>
        <v>0.0886050487780348</v>
      </c>
      <c r="AN67" s="66">
        <f t="shared" si="8"/>
        <v>0.060041407867494824</v>
      </c>
      <c r="AO67" s="66">
        <f t="shared" si="8"/>
        <v>0.02734765004210936</v>
      </c>
      <c r="AP67" s="66">
        <f t="shared" si="8"/>
        <v>-0.016768296740296347</v>
      </c>
      <c r="AQ67" s="66">
        <f t="shared" si="8"/>
        <v>-0.0613137228963477</v>
      </c>
      <c r="AR67" s="66">
        <f t="shared" si="8"/>
        <v>0.009871081692279758</v>
      </c>
      <c r="AS67" s="66">
        <f t="shared" si="8"/>
        <v>-0.05579192421931444</v>
      </c>
      <c r="AT67" s="66">
        <f t="shared" si="8"/>
        <v>0.057822507812506765</v>
      </c>
      <c r="AU67" s="66"/>
      <c r="AV67" s="66">
        <f t="shared" si="8"/>
        <v>-0.04437724728996741</v>
      </c>
      <c r="AW67" s="81"/>
      <c r="AX67" s="81"/>
      <c r="AY67" s="81"/>
      <c r="AZ67" s="72"/>
      <c r="BA67" s="64"/>
    </row>
    <row r="68" spans="1:53" ht="12.75">
      <c r="A68" s="123" t="s">
        <v>285</v>
      </c>
      <c r="B68" s="205"/>
      <c r="C68" s="66">
        <v>0.02</v>
      </c>
      <c r="D68" s="66">
        <v>0.02</v>
      </c>
      <c r="E68" s="66">
        <v>0.02</v>
      </c>
      <c r="F68" s="66">
        <v>0.02</v>
      </c>
      <c r="G68" s="66">
        <v>0.02</v>
      </c>
      <c r="H68" s="66">
        <v>0.02</v>
      </c>
      <c r="I68" s="66">
        <v>0.02</v>
      </c>
      <c r="J68" s="66">
        <v>0.02</v>
      </c>
      <c r="K68" s="66">
        <v>0.02</v>
      </c>
      <c r="L68" s="66">
        <v>0.02</v>
      </c>
      <c r="M68" s="66">
        <v>0.02</v>
      </c>
      <c r="N68" s="66">
        <v>0.02</v>
      </c>
      <c r="O68" s="66">
        <v>0.02</v>
      </c>
      <c r="P68" s="66">
        <v>0.02</v>
      </c>
      <c r="Q68" s="66">
        <v>0.02</v>
      </c>
      <c r="R68" s="66">
        <v>0.02</v>
      </c>
      <c r="S68" s="66">
        <v>0.02</v>
      </c>
      <c r="T68" s="66">
        <v>0.02</v>
      </c>
      <c r="U68" s="66">
        <v>0.02</v>
      </c>
      <c r="V68" s="66">
        <v>0.02</v>
      </c>
      <c r="W68" s="66">
        <v>0.02</v>
      </c>
      <c r="X68" s="66">
        <v>0.02</v>
      </c>
      <c r="Y68" s="66">
        <v>0.02</v>
      </c>
      <c r="Z68" s="66">
        <v>0.02</v>
      </c>
      <c r="AA68" s="66">
        <v>0.02</v>
      </c>
      <c r="AB68" s="66">
        <v>0.02</v>
      </c>
      <c r="AC68" s="66">
        <v>0.02</v>
      </c>
      <c r="AD68" s="66">
        <v>0.02</v>
      </c>
      <c r="AE68" s="66">
        <v>0.02</v>
      </c>
      <c r="AF68" s="66">
        <v>0.02</v>
      </c>
      <c r="AG68" s="66">
        <v>0.02</v>
      </c>
      <c r="AH68" s="66">
        <v>0.02</v>
      </c>
      <c r="AI68" s="66">
        <v>0.02</v>
      </c>
      <c r="AJ68" s="66">
        <v>0.02</v>
      </c>
      <c r="AK68" s="66">
        <v>0.02</v>
      </c>
      <c r="AL68" s="66">
        <v>0.02</v>
      </c>
      <c r="AM68" s="66">
        <v>0.02</v>
      </c>
      <c r="AN68" s="66">
        <v>0.02</v>
      </c>
      <c r="AO68" s="66">
        <v>0.02</v>
      </c>
      <c r="AP68" s="66">
        <v>0.02</v>
      </c>
      <c r="AQ68" s="66">
        <v>0.02</v>
      </c>
      <c r="AR68" s="66">
        <v>0.02</v>
      </c>
      <c r="AS68" s="66">
        <v>0.02</v>
      </c>
      <c r="AT68" s="66">
        <v>0.02</v>
      </c>
      <c r="AU68" s="66"/>
      <c r="AV68" s="66">
        <v>0.02</v>
      </c>
      <c r="AW68" s="81"/>
      <c r="AX68" s="81"/>
      <c r="AY68" s="81"/>
      <c r="AZ68" s="64"/>
      <c r="BA68" s="64"/>
    </row>
    <row r="69" spans="1:53" ht="12.75">
      <c r="A69" s="42"/>
      <c r="B69" s="213"/>
      <c r="AU69" s="64"/>
      <c r="AV69" s="73"/>
      <c r="AW69" s="73"/>
      <c r="AX69" s="73"/>
      <c r="AY69" s="73"/>
      <c r="AZ69" s="64"/>
      <c r="BA69" s="64"/>
    </row>
    <row r="70" spans="1:53" ht="12.75">
      <c r="A70" s="123" t="s">
        <v>286</v>
      </c>
      <c r="B70" s="205"/>
      <c r="C70" s="66">
        <f aca="true" t="shared" si="9" ref="C70:AV70">+(1+C67)/(1+C68)-1</f>
        <v>-0.1056317430292294</v>
      </c>
      <c r="D70" s="66">
        <f t="shared" si="9"/>
        <v>0.04961919505875301</v>
      </c>
      <c r="E70" s="66">
        <f t="shared" si="9"/>
        <v>0.0384045521911478</v>
      </c>
      <c r="F70" s="66">
        <f t="shared" si="9"/>
        <v>-0.027140627818163288</v>
      </c>
      <c r="G70" s="66">
        <f t="shared" si="9"/>
        <v>0.0712393747376936</v>
      </c>
      <c r="H70" s="66">
        <f t="shared" si="9"/>
        <v>0.0747909860813738</v>
      </c>
      <c r="I70" s="66">
        <f t="shared" si="9"/>
        <v>-0.06166969889014651</v>
      </c>
      <c r="J70" s="66">
        <f t="shared" si="9"/>
        <v>0.04573129100910256</v>
      </c>
      <c r="K70" s="66">
        <f t="shared" si="9"/>
        <v>0.02178810577056467</v>
      </c>
      <c r="L70" s="66">
        <f t="shared" si="9"/>
        <v>-0.042286847503842484</v>
      </c>
      <c r="M70" s="66">
        <f t="shared" si="9"/>
        <v>0.056802313130413395</v>
      </c>
      <c r="N70" s="66">
        <f t="shared" si="9"/>
        <v>0.11469399809667258</v>
      </c>
      <c r="O70" s="66">
        <f t="shared" si="9"/>
        <v>0.08198915043329036</v>
      </c>
      <c r="P70" s="66">
        <f t="shared" si="9"/>
        <v>-0.011820772788861289</v>
      </c>
      <c r="Q70" s="66">
        <f t="shared" si="9"/>
        <v>-0.09892244225623292</v>
      </c>
      <c r="R70" s="66">
        <f t="shared" si="9"/>
        <v>0.027231660501635835</v>
      </c>
      <c r="S70" s="66">
        <f t="shared" si="9"/>
        <v>0.05123617548023818</v>
      </c>
      <c r="T70" s="66">
        <f t="shared" si="9"/>
        <v>-0.10057599051790689</v>
      </c>
      <c r="U70" s="66">
        <f t="shared" si="9"/>
        <v>0.024518876597050987</v>
      </c>
      <c r="V70" s="66">
        <f t="shared" si="9"/>
        <v>0.0077744146155744875</v>
      </c>
      <c r="W70" s="66">
        <f t="shared" si="9"/>
        <v>0.009700338941642794</v>
      </c>
      <c r="X70" s="66">
        <f t="shared" si="9"/>
        <v>0.068113732661234</v>
      </c>
      <c r="Y70" s="66">
        <f t="shared" si="9"/>
        <v>-0.11161151872900399</v>
      </c>
      <c r="Z70" s="66">
        <f t="shared" si="9"/>
        <v>-0.06912438875259064</v>
      </c>
      <c r="AA70" s="66">
        <f t="shared" si="9"/>
        <v>0.02078285356664389</v>
      </c>
      <c r="AB70" s="66">
        <f t="shared" si="9"/>
        <v>-0.0078787784168044</v>
      </c>
      <c r="AC70" s="66">
        <f t="shared" si="9"/>
        <v>0.05308536468910097</v>
      </c>
      <c r="AD70" s="66">
        <f t="shared" si="9"/>
        <v>0.056578849663700304</v>
      </c>
      <c r="AE70" s="66">
        <f t="shared" si="9"/>
        <v>0.011633505902060248</v>
      </c>
      <c r="AF70" s="66">
        <f t="shared" si="9"/>
        <v>-0.009554338042342958</v>
      </c>
      <c r="AG70" s="66">
        <f t="shared" si="9"/>
        <v>-0.04140412059726206</v>
      </c>
      <c r="AH70" s="66">
        <f t="shared" si="9"/>
        <v>-0.06954381956023103</v>
      </c>
      <c r="AI70" s="66">
        <f t="shared" si="9"/>
        <v>-0.044921528858744675</v>
      </c>
      <c r="AJ70" s="66">
        <f t="shared" si="9"/>
        <v>-0.004132910831485703</v>
      </c>
      <c r="AK70" s="66">
        <f t="shared" si="9"/>
        <v>0.03657812013996842</v>
      </c>
      <c r="AL70" s="66">
        <f t="shared" si="9"/>
        <v>-0.07597034150156012</v>
      </c>
      <c r="AM70" s="66">
        <f t="shared" si="9"/>
        <v>0.06725985174317128</v>
      </c>
      <c r="AN70" s="66">
        <f t="shared" si="9"/>
        <v>0.03925628222303423</v>
      </c>
      <c r="AO70" s="66">
        <f t="shared" si="9"/>
        <v>0.007203578472656069</v>
      </c>
      <c r="AP70" s="66">
        <f t="shared" si="9"/>
        <v>-0.03604734974538859</v>
      </c>
      <c r="AQ70" s="66">
        <f t="shared" si="9"/>
        <v>-0.07971933617288995</v>
      </c>
      <c r="AR70" s="66">
        <f t="shared" si="9"/>
        <v>-0.009930312066392388</v>
      </c>
      <c r="AS70" s="66">
        <f t="shared" si="9"/>
        <v>-0.07430580805815146</v>
      </c>
      <c r="AT70" s="66">
        <f t="shared" si="9"/>
        <v>0.03708089001226145</v>
      </c>
      <c r="AU70" s="66"/>
      <c r="AV70" s="66">
        <f t="shared" si="9"/>
        <v>-0.06311494832349751</v>
      </c>
      <c r="AW70" s="81"/>
      <c r="AX70" s="81"/>
      <c r="AY70" s="81"/>
      <c r="AZ70" s="64"/>
      <c r="BA70" s="64"/>
    </row>
    <row r="71" spans="1:52" ht="12.75">
      <c r="A71" s="1"/>
      <c r="P71" s="64"/>
      <c r="T71" s="64"/>
      <c r="U71" s="64"/>
      <c r="AD71" s="64"/>
      <c r="AE71" s="64"/>
      <c r="AL71" s="32"/>
      <c r="AM71" s="32"/>
      <c r="AN71" s="32"/>
      <c r="AO71" s="64"/>
      <c r="AP71" s="64"/>
      <c r="AQ71" s="64"/>
      <c r="AR71" s="64"/>
      <c r="AT71" s="64"/>
      <c r="AU71" s="64"/>
      <c r="AV71" s="29"/>
      <c r="AW71" s="29"/>
      <c r="AX71" s="29"/>
      <c r="AY71" s="29"/>
      <c r="AZ71" s="64"/>
    </row>
    <row r="72" spans="1:52" ht="12.75">
      <c r="A72" s="36" t="s">
        <v>211</v>
      </c>
      <c r="B72" s="205"/>
      <c r="P72" s="64"/>
      <c r="T72" s="64"/>
      <c r="U72" s="64"/>
      <c r="AD72" s="64"/>
      <c r="AE72" s="64"/>
      <c r="AL72" s="32"/>
      <c r="AM72" s="32"/>
      <c r="AN72" s="32"/>
      <c r="AO72" s="64"/>
      <c r="AP72" s="64"/>
      <c r="AQ72" s="64"/>
      <c r="AR72" s="64"/>
      <c r="AT72" s="64"/>
      <c r="AU72" s="64"/>
      <c r="AV72" s="29"/>
      <c r="AW72" s="29"/>
      <c r="AX72" s="29"/>
      <c r="AY72" s="29"/>
      <c r="AZ72" s="64"/>
    </row>
    <row r="73" spans="1:53" ht="12.75">
      <c r="A73" s="67" t="s">
        <v>223</v>
      </c>
      <c r="B73" s="209"/>
      <c r="C73" s="13">
        <f>+'5.1. Personal Pension.'!B23</f>
        <v>16574.482</v>
      </c>
      <c r="D73" s="13">
        <f>+'5.1. Personal Pension.'!C23</f>
        <v>193.072</v>
      </c>
      <c r="E73" s="13">
        <f>+'5.1. Personal Pension.'!D23</f>
        <v>496.608</v>
      </c>
      <c r="F73" s="13">
        <f>+'5.1. Personal Pension.'!E23</f>
        <v>13881</v>
      </c>
      <c r="G73" s="13">
        <f>+'5.1. Personal Pension.'!F23</f>
        <v>677.961</v>
      </c>
      <c r="H73" s="29">
        <f>+'5.1. Personal Pension.'!G23</f>
        <v>463.512</v>
      </c>
      <c r="I73" s="13">
        <f>+'5.1. Personal Pension.'!H23</f>
        <v>517.342</v>
      </c>
      <c r="J73" s="13">
        <f>+'5.1. Personal Pension.'!I23</f>
        <v>0</v>
      </c>
      <c r="K73" s="13">
        <f>+'5.1. Personal Pension.'!J23</f>
        <v>0</v>
      </c>
      <c r="L73" s="13">
        <f>+'5.1. Personal Pension.'!K23</f>
        <v>1031</v>
      </c>
      <c r="M73" s="13">
        <f>+'5.1. Personal Pension.'!L23</f>
        <v>6875</v>
      </c>
      <c r="N73" s="13">
        <f>+'5.1. Personal Pension.'!M23</f>
        <v>2270</v>
      </c>
      <c r="O73" s="13">
        <f>+'5.1. Personal Pension.'!N23</f>
        <v>311</v>
      </c>
      <c r="P73" s="13">
        <f>+'5.1. Personal Pension.'!O23</f>
        <v>123</v>
      </c>
      <c r="Q73" s="13">
        <f>+'5.1. Personal Pension.'!P23</f>
        <v>228543</v>
      </c>
      <c r="R73" s="13">
        <f>+'5.1. Personal Pension.'!Q23</f>
        <v>2639</v>
      </c>
      <c r="S73" s="13">
        <f>+'5.1. Personal Pension.'!R23</f>
        <v>61027</v>
      </c>
      <c r="T73" s="13">
        <f>+'5.1. Personal Pension.'!S23</f>
        <v>0</v>
      </c>
      <c r="U73" s="13">
        <f>+'5.1. Personal Pension.'!T23</f>
        <v>0</v>
      </c>
      <c r="V73" s="13">
        <f>+'5.1. Personal Pension.'!U23</f>
        <v>20164</v>
      </c>
      <c r="W73" s="13">
        <f>+'5.1. Personal Pension.'!V23</f>
        <v>0</v>
      </c>
      <c r="X73" s="13">
        <f>+'5.1. Personal Pension.'!W23</f>
        <v>0</v>
      </c>
      <c r="Y73" s="13">
        <f>+'5.1. Personal Pension.'!X23</f>
        <v>3996.111</v>
      </c>
      <c r="Z73" s="13">
        <f>+'5.1. Personal Pension.'!Y23</f>
        <v>94546.997</v>
      </c>
      <c r="AA73" s="13">
        <f>+'5.1. Personal Pension.'!Z23</f>
        <v>70825.221</v>
      </c>
      <c r="AB73" s="13">
        <f>+'5.1. Personal Pension.'!AA23</f>
        <v>632.094</v>
      </c>
      <c r="AC73" s="13">
        <f>+'5.1. Personal Pension.'!AB23</f>
        <v>0</v>
      </c>
      <c r="AD73" s="13">
        <f>+'5.1. Personal Pension.'!AC23</f>
        <v>0</v>
      </c>
      <c r="AE73" s="13">
        <f>+'5.1. Personal Pension.'!AD23</f>
        <v>0</v>
      </c>
      <c r="AF73" s="13">
        <f>+'5.1. Personal Pension.'!AE23</f>
        <v>0</v>
      </c>
      <c r="AG73" s="13">
        <f>+'5.1. Personal Pension.'!AF23</f>
        <v>0</v>
      </c>
      <c r="AH73" s="13">
        <f>+'5.1. Personal Pension.'!AG23</f>
        <v>31261</v>
      </c>
      <c r="AI73" s="13">
        <f>+'5.1. Personal Pension.'!AH23</f>
        <v>5424.751</v>
      </c>
      <c r="AJ73" s="13">
        <f>+'5.1. Personal Pension.'!AI23</f>
        <v>19636.561</v>
      </c>
      <c r="AK73" s="13">
        <f>+'5.1. Personal Pension.'!AJ23</f>
        <v>63726.048</v>
      </c>
      <c r="AL73" s="29">
        <f>+'5.1. Personal Pension.'!AK23</f>
        <v>628</v>
      </c>
      <c r="AM73" s="29">
        <f>+'5.1. Personal Pension.'!AL23</f>
        <v>0</v>
      </c>
      <c r="AN73" s="29">
        <f>+'5.1. Personal Pension.'!AM23</f>
        <v>0</v>
      </c>
      <c r="AO73" s="13">
        <f>+'5.1. Personal Pension.'!AN23</f>
        <v>20383</v>
      </c>
      <c r="AP73" s="13">
        <f>+'5.1. Personal Pension.'!AO23</f>
        <v>1562</v>
      </c>
      <c r="AQ73" s="13">
        <f>+'5.1. Personal Pension.'!AP23</f>
        <v>1655</v>
      </c>
      <c r="AR73" s="13">
        <f>+'5.1. Personal Pension.'!AQ23</f>
        <v>0</v>
      </c>
      <c r="AS73" s="13">
        <f>+'5.1. Personal Pension.'!AR23</f>
        <v>0</v>
      </c>
      <c r="AT73" s="13">
        <f>+'5.1. Personal Pension.'!AS23</f>
        <v>14374</v>
      </c>
      <c r="AU73" s="13"/>
      <c r="AV73" s="13">
        <f>SUM(C73:AT73)</f>
        <v>684437.76</v>
      </c>
      <c r="AW73" s="13"/>
      <c r="AX73" s="13"/>
      <c r="AY73" s="13"/>
      <c r="AZ73" s="13"/>
      <c r="BA73" s="13"/>
    </row>
    <row r="74" spans="1:53" ht="12.75">
      <c r="A74" s="67"/>
      <c r="B74" s="209"/>
      <c r="C74" s="13"/>
      <c r="D74" s="13"/>
      <c r="E74" s="13"/>
      <c r="F74" s="13"/>
      <c r="G74" s="13"/>
      <c r="H74" s="29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29"/>
      <c r="AM74" s="29"/>
      <c r="AN74" s="29"/>
      <c r="AO74" s="13"/>
      <c r="AP74" s="13"/>
      <c r="AQ74" s="13"/>
      <c r="AR74" s="13"/>
      <c r="AS74" s="13"/>
      <c r="AT74" s="13"/>
      <c r="AV74" s="13">
        <f aca="true" t="shared" si="10" ref="AV74:AV99">SUM(C74:AT74)</f>
        <v>0</v>
      </c>
      <c r="AW74" s="29"/>
      <c r="AX74" s="29"/>
      <c r="AY74" s="29"/>
      <c r="AZ74" s="13"/>
      <c r="BA74" s="13"/>
    </row>
    <row r="75" spans="1:53" ht="12.75">
      <c r="A75" s="49" t="s">
        <v>224</v>
      </c>
      <c r="B75" s="209"/>
      <c r="C75" s="13">
        <f aca="true" t="shared" si="11" ref="C75:AB75">+C73*(C22/100)</f>
        <v>16408.73718</v>
      </c>
      <c r="D75" s="13">
        <f t="shared" si="11"/>
        <v>193.072</v>
      </c>
      <c r="E75" s="13">
        <f t="shared" si="11"/>
        <v>496.608</v>
      </c>
      <c r="F75" s="13">
        <f t="shared" si="11"/>
        <v>0</v>
      </c>
      <c r="G75" s="13">
        <f t="shared" si="11"/>
        <v>0</v>
      </c>
      <c r="H75" s="29">
        <f t="shared" si="11"/>
        <v>0</v>
      </c>
      <c r="I75" s="13">
        <f t="shared" si="11"/>
        <v>517.342</v>
      </c>
      <c r="J75" s="13">
        <f t="shared" si="11"/>
        <v>0</v>
      </c>
      <c r="K75" s="13">
        <f t="shared" si="11"/>
        <v>0</v>
      </c>
      <c r="L75" s="13">
        <f t="shared" si="11"/>
        <v>1031</v>
      </c>
      <c r="M75" s="13">
        <f t="shared" si="11"/>
        <v>6875</v>
      </c>
      <c r="N75" s="13">
        <f t="shared" si="11"/>
        <v>2079.3199999999997</v>
      </c>
      <c r="O75" s="13">
        <f t="shared" si="11"/>
        <v>0</v>
      </c>
      <c r="P75" s="13">
        <f t="shared" si="11"/>
        <v>123</v>
      </c>
      <c r="Q75" s="13">
        <f t="shared" si="11"/>
        <v>184045.6779</v>
      </c>
      <c r="R75" s="13">
        <f t="shared" si="11"/>
        <v>2639</v>
      </c>
      <c r="S75" s="13">
        <f t="shared" si="11"/>
        <v>59202.292700000005</v>
      </c>
      <c r="T75" s="13">
        <f t="shared" si="11"/>
        <v>0</v>
      </c>
      <c r="U75" s="13">
        <f t="shared" si="11"/>
        <v>0</v>
      </c>
      <c r="V75" s="13">
        <f t="shared" si="11"/>
        <v>0</v>
      </c>
      <c r="W75" s="13">
        <f t="shared" si="11"/>
        <v>0</v>
      </c>
      <c r="X75" s="13">
        <f t="shared" si="11"/>
        <v>0</v>
      </c>
      <c r="Y75" s="13">
        <f t="shared" si="11"/>
        <v>0</v>
      </c>
      <c r="Z75" s="13">
        <f t="shared" si="11"/>
        <v>0</v>
      </c>
      <c r="AA75" s="13">
        <f t="shared" si="11"/>
        <v>0</v>
      </c>
      <c r="AB75" s="13">
        <f t="shared" si="11"/>
        <v>0</v>
      </c>
      <c r="AC75" s="13">
        <f aca="true" t="shared" si="12" ref="AC75:AU75">+AC73*(AC22/100)</f>
        <v>0</v>
      </c>
      <c r="AD75" s="13">
        <f t="shared" si="12"/>
        <v>0</v>
      </c>
      <c r="AE75" s="13">
        <f t="shared" si="12"/>
        <v>0</v>
      </c>
      <c r="AF75" s="13">
        <f t="shared" si="12"/>
        <v>0</v>
      </c>
      <c r="AG75" s="13">
        <f t="shared" si="12"/>
        <v>0</v>
      </c>
      <c r="AH75" s="13">
        <f t="shared" si="12"/>
        <v>0</v>
      </c>
      <c r="AI75" s="13">
        <f t="shared" si="12"/>
        <v>3151.780331</v>
      </c>
      <c r="AJ75" s="13">
        <f t="shared" si="12"/>
        <v>15807.431605000002</v>
      </c>
      <c r="AK75" s="13">
        <f t="shared" si="12"/>
        <v>63534.869856000005</v>
      </c>
      <c r="AL75" s="29">
        <f t="shared" si="12"/>
        <v>628</v>
      </c>
      <c r="AM75" s="29">
        <f t="shared" si="12"/>
        <v>0</v>
      </c>
      <c r="AN75" s="29">
        <f t="shared" si="12"/>
        <v>0</v>
      </c>
      <c r="AO75" s="13">
        <f t="shared" si="12"/>
        <v>20193.4381</v>
      </c>
      <c r="AP75" s="13">
        <f t="shared" si="12"/>
        <v>845.042</v>
      </c>
      <c r="AQ75" s="13">
        <f t="shared" si="12"/>
        <v>1655</v>
      </c>
      <c r="AR75" s="13">
        <f t="shared" si="12"/>
        <v>0</v>
      </c>
      <c r="AS75" s="13">
        <f t="shared" si="12"/>
        <v>0</v>
      </c>
      <c r="AT75" s="13">
        <f t="shared" si="12"/>
        <v>12341.5164</v>
      </c>
      <c r="AU75" s="13">
        <f t="shared" si="12"/>
        <v>0</v>
      </c>
      <c r="AV75" s="13">
        <f t="shared" si="10"/>
        <v>391768.12807200005</v>
      </c>
      <c r="AW75" s="13"/>
      <c r="AX75" s="13"/>
      <c r="AY75" s="13"/>
      <c r="AZ75" s="13"/>
      <c r="BA75" s="124"/>
    </row>
    <row r="76" spans="1:80" ht="12.75">
      <c r="A76" s="49" t="s">
        <v>225</v>
      </c>
      <c r="B76" s="209"/>
      <c r="C76" s="13">
        <f aca="true" t="shared" si="13" ref="C76:AB76">+C73*(C23/100)</f>
        <v>99.446892</v>
      </c>
      <c r="D76" s="13">
        <f t="shared" si="13"/>
        <v>0</v>
      </c>
      <c r="E76" s="13">
        <f t="shared" si="13"/>
        <v>0</v>
      </c>
      <c r="F76" s="13">
        <f t="shared" si="13"/>
        <v>0</v>
      </c>
      <c r="G76" s="13">
        <f t="shared" si="13"/>
        <v>0</v>
      </c>
      <c r="H76" s="29">
        <f t="shared" si="13"/>
        <v>0</v>
      </c>
      <c r="I76" s="13">
        <f t="shared" si="13"/>
        <v>0</v>
      </c>
      <c r="J76" s="13">
        <f t="shared" si="13"/>
        <v>0</v>
      </c>
      <c r="K76" s="13">
        <f t="shared" si="13"/>
        <v>0</v>
      </c>
      <c r="L76" s="13">
        <f t="shared" si="13"/>
        <v>0</v>
      </c>
      <c r="M76" s="13">
        <f t="shared" si="13"/>
        <v>0</v>
      </c>
      <c r="N76" s="13">
        <f t="shared" si="13"/>
        <v>124.85</v>
      </c>
      <c r="O76" s="13">
        <f t="shared" si="13"/>
        <v>301.048</v>
      </c>
      <c r="P76" s="13">
        <f t="shared" si="13"/>
        <v>0</v>
      </c>
      <c r="Q76" s="13">
        <f t="shared" si="13"/>
        <v>6879.1443</v>
      </c>
      <c r="R76" s="13">
        <f t="shared" si="13"/>
        <v>0</v>
      </c>
      <c r="S76" s="13">
        <f t="shared" si="13"/>
        <v>164.77290000000002</v>
      </c>
      <c r="T76" s="13">
        <f t="shared" si="13"/>
        <v>0</v>
      </c>
      <c r="U76" s="13">
        <f t="shared" si="13"/>
        <v>0</v>
      </c>
      <c r="V76" s="13">
        <f t="shared" si="13"/>
        <v>0</v>
      </c>
      <c r="W76" s="13">
        <f t="shared" si="13"/>
        <v>0</v>
      </c>
      <c r="X76" s="13">
        <f t="shared" si="13"/>
        <v>0</v>
      </c>
      <c r="Y76" s="13">
        <f t="shared" si="13"/>
        <v>0</v>
      </c>
      <c r="Z76" s="13">
        <f t="shared" si="13"/>
        <v>0</v>
      </c>
      <c r="AA76" s="13">
        <f t="shared" si="13"/>
        <v>0</v>
      </c>
      <c r="AB76" s="13">
        <f t="shared" si="13"/>
        <v>0</v>
      </c>
      <c r="AC76" s="13">
        <f aca="true" t="shared" si="14" ref="AC76:AU76">+AC73*(AC23/100)</f>
        <v>0</v>
      </c>
      <c r="AD76" s="13">
        <f t="shared" si="14"/>
        <v>0</v>
      </c>
      <c r="AE76" s="13">
        <f t="shared" si="14"/>
        <v>0</v>
      </c>
      <c r="AF76" s="13">
        <f t="shared" si="14"/>
        <v>0</v>
      </c>
      <c r="AG76" s="13">
        <f t="shared" si="14"/>
        <v>0</v>
      </c>
      <c r="AH76" s="13">
        <f t="shared" si="14"/>
        <v>0</v>
      </c>
      <c r="AI76" s="13">
        <f t="shared" si="14"/>
        <v>86.79601600000001</v>
      </c>
      <c r="AJ76" s="13">
        <f t="shared" si="14"/>
        <v>883.645245</v>
      </c>
      <c r="AK76" s="13">
        <f t="shared" si="14"/>
        <v>0</v>
      </c>
      <c r="AL76" s="29">
        <f t="shared" si="14"/>
        <v>0</v>
      </c>
      <c r="AM76" s="29">
        <f t="shared" si="14"/>
        <v>0</v>
      </c>
      <c r="AN76" s="29">
        <f t="shared" si="14"/>
        <v>0</v>
      </c>
      <c r="AO76" s="13">
        <f t="shared" si="14"/>
        <v>138.6044</v>
      </c>
      <c r="AP76" s="13">
        <f t="shared" si="14"/>
        <v>161.5108</v>
      </c>
      <c r="AQ76" s="13">
        <f t="shared" si="14"/>
        <v>0</v>
      </c>
      <c r="AR76" s="13">
        <f t="shared" si="14"/>
        <v>0</v>
      </c>
      <c r="AS76" s="13">
        <f t="shared" si="14"/>
        <v>0</v>
      </c>
      <c r="AT76" s="13">
        <f t="shared" si="14"/>
        <v>480.09159999999997</v>
      </c>
      <c r="AU76" s="13">
        <f t="shared" si="14"/>
        <v>0</v>
      </c>
      <c r="AV76" s="13">
        <f t="shared" si="10"/>
        <v>9319.910153</v>
      </c>
      <c r="AW76" s="13"/>
      <c r="AX76" s="13"/>
      <c r="AY76" s="13"/>
      <c r="AZ76" s="13"/>
      <c r="BA76" s="30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</row>
    <row r="77" spans="1:80" ht="12.75">
      <c r="A77" s="49" t="s">
        <v>226</v>
      </c>
      <c r="B77" s="209"/>
      <c r="C77" s="13">
        <f aca="true" t="shared" si="15" ref="C77:AB77">+C73*(C24/100)</f>
        <v>66.297928</v>
      </c>
      <c r="D77" s="13">
        <f t="shared" si="15"/>
        <v>0</v>
      </c>
      <c r="E77" s="13">
        <f t="shared" si="15"/>
        <v>0</v>
      </c>
      <c r="F77" s="13">
        <f t="shared" si="15"/>
        <v>0</v>
      </c>
      <c r="G77" s="13">
        <f t="shared" si="15"/>
        <v>0</v>
      </c>
      <c r="H77" s="29">
        <f t="shared" si="15"/>
        <v>0</v>
      </c>
      <c r="I77" s="13">
        <f t="shared" si="15"/>
        <v>0</v>
      </c>
      <c r="J77" s="13">
        <f t="shared" si="15"/>
        <v>0</v>
      </c>
      <c r="K77" s="13">
        <f t="shared" si="15"/>
        <v>0</v>
      </c>
      <c r="L77" s="13">
        <f t="shared" si="15"/>
        <v>0</v>
      </c>
      <c r="M77" s="13">
        <f t="shared" si="15"/>
        <v>0</v>
      </c>
      <c r="N77" s="13">
        <f t="shared" si="15"/>
        <v>65.83</v>
      </c>
      <c r="O77" s="13">
        <f t="shared" si="15"/>
        <v>9.952</v>
      </c>
      <c r="P77" s="13">
        <f t="shared" si="15"/>
        <v>0</v>
      </c>
      <c r="Q77" s="13">
        <f t="shared" si="15"/>
        <v>24179.849400000003</v>
      </c>
      <c r="R77" s="13">
        <f t="shared" si="15"/>
        <v>0</v>
      </c>
      <c r="S77" s="13">
        <f t="shared" si="15"/>
        <v>1659.9344</v>
      </c>
      <c r="T77" s="13">
        <f t="shared" si="15"/>
        <v>0</v>
      </c>
      <c r="U77" s="13">
        <f t="shared" si="15"/>
        <v>0</v>
      </c>
      <c r="V77" s="13">
        <f t="shared" si="15"/>
        <v>0</v>
      </c>
      <c r="W77" s="13">
        <f t="shared" si="15"/>
        <v>0</v>
      </c>
      <c r="X77" s="13">
        <f t="shared" si="15"/>
        <v>0</v>
      </c>
      <c r="Y77" s="13">
        <f t="shared" si="15"/>
        <v>0</v>
      </c>
      <c r="Z77" s="13">
        <f t="shared" si="15"/>
        <v>0</v>
      </c>
      <c r="AA77" s="13">
        <f t="shared" si="15"/>
        <v>0</v>
      </c>
      <c r="AB77" s="13">
        <f t="shared" si="15"/>
        <v>0</v>
      </c>
      <c r="AC77" s="13">
        <f aca="true" t="shared" si="16" ref="AC77:AU77">+AC73*(AC24/100)</f>
        <v>0</v>
      </c>
      <c r="AD77" s="13">
        <f t="shared" si="16"/>
        <v>0</v>
      </c>
      <c r="AE77" s="13">
        <f t="shared" si="16"/>
        <v>0</v>
      </c>
      <c r="AF77" s="13">
        <f t="shared" si="16"/>
        <v>0</v>
      </c>
      <c r="AG77" s="13">
        <f t="shared" si="16"/>
        <v>0</v>
      </c>
      <c r="AH77" s="13">
        <f t="shared" si="16"/>
        <v>0</v>
      </c>
      <c r="AI77" s="13">
        <f t="shared" si="16"/>
        <v>0</v>
      </c>
      <c r="AJ77" s="13">
        <f t="shared" si="16"/>
        <v>1610.1980019999999</v>
      </c>
      <c r="AK77" s="13">
        <f t="shared" si="16"/>
        <v>0</v>
      </c>
      <c r="AL77" s="29">
        <f t="shared" si="16"/>
        <v>0</v>
      </c>
      <c r="AM77" s="29">
        <f t="shared" si="16"/>
        <v>0</v>
      </c>
      <c r="AN77" s="29">
        <f t="shared" si="16"/>
        <v>0</v>
      </c>
      <c r="AO77" s="13">
        <f t="shared" si="16"/>
        <v>50.9575</v>
      </c>
      <c r="AP77" s="13">
        <f t="shared" si="16"/>
        <v>180.5672</v>
      </c>
      <c r="AQ77" s="13">
        <f t="shared" si="16"/>
        <v>0</v>
      </c>
      <c r="AR77" s="13">
        <f t="shared" si="16"/>
        <v>0</v>
      </c>
      <c r="AS77" s="13">
        <f t="shared" si="16"/>
        <v>0</v>
      </c>
      <c r="AT77" s="13">
        <f t="shared" si="16"/>
        <v>1371.2795999999998</v>
      </c>
      <c r="AU77" s="13">
        <f t="shared" si="16"/>
        <v>0</v>
      </c>
      <c r="AV77" s="13">
        <f t="shared" si="10"/>
        <v>29194.866030000005</v>
      </c>
      <c r="AW77" s="13"/>
      <c r="AX77" s="13"/>
      <c r="AY77" s="13"/>
      <c r="AZ77" s="13"/>
      <c r="BA77" s="125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</row>
    <row r="78" spans="1:80" ht="12.75">
      <c r="A78" s="49" t="s">
        <v>227</v>
      </c>
      <c r="B78" s="209"/>
      <c r="C78" s="13">
        <f aca="true" t="shared" si="17" ref="C78:AB78">+C73*(C25/100)</f>
        <v>0</v>
      </c>
      <c r="D78" s="13">
        <f t="shared" si="17"/>
        <v>0</v>
      </c>
      <c r="E78" s="13">
        <f t="shared" si="17"/>
        <v>0</v>
      </c>
      <c r="F78" s="13">
        <f t="shared" si="17"/>
        <v>0</v>
      </c>
      <c r="G78" s="13">
        <f t="shared" si="17"/>
        <v>0</v>
      </c>
      <c r="H78" s="29">
        <f t="shared" si="17"/>
        <v>0</v>
      </c>
      <c r="I78" s="13">
        <f t="shared" si="17"/>
        <v>0</v>
      </c>
      <c r="J78" s="13">
        <f t="shared" si="17"/>
        <v>0</v>
      </c>
      <c r="K78" s="13">
        <f t="shared" si="17"/>
        <v>0</v>
      </c>
      <c r="L78" s="13">
        <f t="shared" si="17"/>
        <v>0</v>
      </c>
      <c r="M78" s="13">
        <f t="shared" si="17"/>
        <v>0</v>
      </c>
      <c r="N78" s="13">
        <f t="shared" si="17"/>
        <v>0</v>
      </c>
      <c r="O78" s="13">
        <f t="shared" si="17"/>
        <v>0</v>
      </c>
      <c r="P78" s="13">
        <f t="shared" si="17"/>
        <v>0</v>
      </c>
      <c r="Q78" s="13">
        <f t="shared" si="17"/>
        <v>13278.3483</v>
      </c>
      <c r="R78" s="13">
        <f t="shared" si="17"/>
        <v>0</v>
      </c>
      <c r="S78" s="13">
        <f t="shared" si="17"/>
        <v>0</v>
      </c>
      <c r="T78" s="13">
        <f t="shared" si="17"/>
        <v>0</v>
      </c>
      <c r="U78" s="13">
        <f t="shared" si="17"/>
        <v>0</v>
      </c>
      <c r="V78" s="13">
        <f t="shared" si="17"/>
        <v>0</v>
      </c>
      <c r="W78" s="13">
        <f t="shared" si="17"/>
        <v>0</v>
      </c>
      <c r="X78" s="13">
        <f t="shared" si="17"/>
        <v>0</v>
      </c>
      <c r="Y78" s="13">
        <f t="shared" si="17"/>
        <v>0</v>
      </c>
      <c r="Z78" s="13">
        <f t="shared" si="17"/>
        <v>0</v>
      </c>
      <c r="AA78" s="13">
        <f t="shared" si="17"/>
        <v>0</v>
      </c>
      <c r="AB78" s="13">
        <f t="shared" si="17"/>
        <v>0</v>
      </c>
      <c r="AC78" s="13">
        <f aca="true" t="shared" si="18" ref="AC78:AU78">+AC73*(AC25/100)</f>
        <v>0</v>
      </c>
      <c r="AD78" s="13">
        <f t="shared" si="18"/>
        <v>0</v>
      </c>
      <c r="AE78" s="13">
        <f t="shared" si="18"/>
        <v>0</v>
      </c>
      <c r="AF78" s="13">
        <f t="shared" si="18"/>
        <v>0</v>
      </c>
      <c r="AG78" s="13">
        <f t="shared" si="18"/>
        <v>0</v>
      </c>
      <c r="AH78" s="13">
        <f t="shared" si="18"/>
        <v>0</v>
      </c>
      <c r="AI78" s="13">
        <f t="shared" si="18"/>
        <v>2186.174653</v>
      </c>
      <c r="AJ78" s="13">
        <f t="shared" si="18"/>
        <v>1335.2861480000001</v>
      </c>
      <c r="AK78" s="13">
        <f t="shared" si="18"/>
        <v>191.178144</v>
      </c>
      <c r="AL78" s="29">
        <f t="shared" si="18"/>
        <v>0</v>
      </c>
      <c r="AM78" s="29">
        <f t="shared" si="18"/>
        <v>0</v>
      </c>
      <c r="AN78" s="29">
        <f t="shared" si="18"/>
        <v>0</v>
      </c>
      <c r="AO78" s="13">
        <f t="shared" si="18"/>
        <v>0</v>
      </c>
      <c r="AP78" s="13">
        <f t="shared" si="18"/>
        <v>374.88</v>
      </c>
      <c r="AQ78" s="13">
        <f t="shared" si="18"/>
        <v>0</v>
      </c>
      <c r="AR78" s="13">
        <f t="shared" si="18"/>
        <v>0</v>
      </c>
      <c r="AS78" s="13">
        <f t="shared" si="18"/>
        <v>0</v>
      </c>
      <c r="AT78" s="13">
        <f t="shared" si="18"/>
        <v>181.1124</v>
      </c>
      <c r="AU78" s="13">
        <f t="shared" si="18"/>
        <v>0</v>
      </c>
      <c r="AV78" s="13">
        <f t="shared" si="10"/>
        <v>17546.979645000003</v>
      </c>
      <c r="AW78" s="13"/>
      <c r="AX78" s="13"/>
      <c r="AY78" s="13"/>
      <c r="AZ78" s="13"/>
      <c r="BA78" s="29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</row>
    <row r="79" spans="1:80" ht="12.75">
      <c r="A79" s="49" t="s">
        <v>228</v>
      </c>
      <c r="B79" s="209"/>
      <c r="C79" s="13">
        <f aca="true" t="shared" si="19" ref="C79:AB79">+C73*(C26/100)</f>
        <v>0</v>
      </c>
      <c r="D79" s="13">
        <f t="shared" si="19"/>
        <v>0</v>
      </c>
      <c r="E79" s="13">
        <f t="shared" si="19"/>
        <v>0</v>
      </c>
      <c r="F79" s="13">
        <f t="shared" si="19"/>
        <v>0</v>
      </c>
      <c r="G79" s="13">
        <f t="shared" si="19"/>
        <v>0</v>
      </c>
      <c r="H79" s="29">
        <f t="shared" si="19"/>
        <v>0</v>
      </c>
      <c r="I79" s="13">
        <f t="shared" si="19"/>
        <v>0</v>
      </c>
      <c r="J79" s="13">
        <f t="shared" si="19"/>
        <v>0</v>
      </c>
      <c r="K79" s="13">
        <f t="shared" si="19"/>
        <v>0</v>
      </c>
      <c r="L79" s="13">
        <f t="shared" si="19"/>
        <v>0</v>
      </c>
      <c r="M79" s="13">
        <f t="shared" si="19"/>
        <v>0</v>
      </c>
      <c r="N79" s="13">
        <f t="shared" si="19"/>
        <v>0</v>
      </c>
      <c r="O79" s="13">
        <f t="shared" si="19"/>
        <v>0</v>
      </c>
      <c r="P79" s="13">
        <f t="shared" si="19"/>
        <v>0</v>
      </c>
      <c r="Q79" s="13">
        <f t="shared" si="19"/>
        <v>159.98010000000002</v>
      </c>
      <c r="R79" s="13">
        <f t="shared" si="19"/>
        <v>0</v>
      </c>
      <c r="S79" s="13">
        <f t="shared" si="19"/>
        <v>0</v>
      </c>
      <c r="T79" s="13">
        <f t="shared" si="19"/>
        <v>0</v>
      </c>
      <c r="U79" s="13">
        <f t="shared" si="19"/>
        <v>0</v>
      </c>
      <c r="V79" s="13">
        <f t="shared" si="19"/>
        <v>20164</v>
      </c>
      <c r="W79" s="13">
        <f t="shared" si="19"/>
        <v>0</v>
      </c>
      <c r="X79" s="13">
        <f t="shared" si="19"/>
        <v>0</v>
      </c>
      <c r="Y79" s="13">
        <f t="shared" si="19"/>
        <v>3996.111</v>
      </c>
      <c r="Z79" s="13">
        <f t="shared" si="19"/>
        <v>94546.997</v>
      </c>
      <c r="AA79" s="13">
        <f t="shared" si="19"/>
        <v>70825.221</v>
      </c>
      <c r="AB79" s="13">
        <f t="shared" si="19"/>
        <v>632.094</v>
      </c>
      <c r="AC79" s="13">
        <f aca="true" t="shared" si="20" ref="AC79:AU79">+AC73*(AC26/100)</f>
        <v>0</v>
      </c>
      <c r="AD79" s="13">
        <f t="shared" si="20"/>
        <v>0</v>
      </c>
      <c r="AE79" s="13">
        <f t="shared" si="20"/>
        <v>0</v>
      </c>
      <c r="AF79" s="13">
        <f t="shared" si="20"/>
        <v>0</v>
      </c>
      <c r="AG79" s="13">
        <f t="shared" si="20"/>
        <v>0</v>
      </c>
      <c r="AH79" s="13">
        <f t="shared" si="20"/>
        <v>31261</v>
      </c>
      <c r="AI79" s="13">
        <f t="shared" si="20"/>
        <v>0</v>
      </c>
      <c r="AJ79" s="13">
        <f t="shared" si="20"/>
        <v>0</v>
      </c>
      <c r="AK79" s="13">
        <f t="shared" si="20"/>
        <v>0</v>
      </c>
      <c r="AL79" s="29">
        <f t="shared" si="20"/>
        <v>0</v>
      </c>
      <c r="AM79" s="29">
        <f t="shared" si="20"/>
        <v>0</v>
      </c>
      <c r="AN79" s="29">
        <f t="shared" si="20"/>
        <v>0</v>
      </c>
      <c r="AO79" s="13">
        <f t="shared" si="20"/>
        <v>0</v>
      </c>
      <c r="AP79" s="13">
        <f t="shared" si="20"/>
        <v>0</v>
      </c>
      <c r="AQ79" s="13">
        <f t="shared" si="20"/>
        <v>0</v>
      </c>
      <c r="AR79" s="13">
        <f t="shared" si="20"/>
        <v>0</v>
      </c>
      <c r="AS79" s="13">
        <f t="shared" si="20"/>
        <v>0</v>
      </c>
      <c r="AT79" s="13">
        <f t="shared" si="20"/>
        <v>0</v>
      </c>
      <c r="AU79" s="13">
        <f t="shared" si="20"/>
        <v>0</v>
      </c>
      <c r="AV79" s="13">
        <f t="shared" si="10"/>
        <v>221585.40310000003</v>
      </c>
      <c r="AW79" s="13"/>
      <c r="AX79" s="13"/>
      <c r="AY79" s="13"/>
      <c r="AZ79" s="13"/>
      <c r="BA79" s="29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</row>
    <row r="80" spans="1:80" ht="12.75">
      <c r="A80" s="67" t="s">
        <v>229</v>
      </c>
      <c r="B80" s="209"/>
      <c r="C80" s="30">
        <f aca="true" t="shared" si="21" ref="C80:AB80">SUM(C75:C79)</f>
        <v>16574.482</v>
      </c>
      <c r="D80" s="30">
        <f t="shared" si="21"/>
        <v>193.072</v>
      </c>
      <c r="E80" s="30">
        <f t="shared" si="21"/>
        <v>496.608</v>
      </c>
      <c r="F80" s="30">
        <f t="shared" si="21"/>
        <v>0</v>
      </c>
      <c r="G80" s="30">
        <f t="shared" si="21"/>
        <v>0</v>
      </c>
      <c r="H80" s="30">
        <f t="shared" si="21"/>
        <v>0</v>
      </c>
      <c r="I80" s="30">
        <f t="shared" si="21"/>
        <v>517.342</v>
      </c>
      <c r="J80" s="30">
        <f t="shared" si="21"/>
        <v>0</v>
      </c>
      <c r="K80" s="30">
        <f t="shared" si="21"/>
        <v>0</v>
      </c>
      <c r="L80" s="30">
        <f t="shared" si="21"/>
        <v>1031</v>
      </c>
      <c r="M80" s="30">
        <f t="shared" si="21"/>
        <v>6875</v>
      </c>
      <c r="N80" s="30">
        <f t="shared" si="21"/>
        <v>2269.9999999999995</v>
      </c>
      <c r="O80" s="30">
        <f t="shared" si="21"/>
        <v>311</v>
      </c>
      <c r="P80" s="30">
        <f t="shared" si="21"/>
        <v>123</v>
      </c>
      <c r="Q80" s="30">
        <f t="shared" si="21"/>
        <v>228543</v>
      </c>
      <c r="R80" s="30">
        <f t="shared" si="21"/>
        <v>2639</v>
      </c>
      <c r="S80" s="30">
        <f t="shared" si="21"/>
        <v>61027.00000000001</v>
      </c>
      <c r="T80" s="30">
        <f t="shared" si="21"/>
        <v>0</v>
      </c>
      <c r="U80" s="30">
        <f t="shared" si="21"/>
        <v>0</v>
      </c>
      <c r="V80" s="30">
        <f t="shared" si="21"/>
        <v>20164</v>
      </c>
      <c r="W80" s="30">
        <f t="shared" si="21"/>
        <v>0</v>
      </c>
      <c r="X80" s="30">
        <f t="shared" si="21"/>
        <v>0</v>
      </c>
      <c r="Y80" s="30">
        <f t="shared" si="21"/>
        <v>3996.111</v>
      </c>
      <c r="Z80" s="30">
        <f t="shared" si="21"/>
        <v>94546.997</v>
      </c>
      <c r="AA80" s="30">
        <f t="shared" si="21"/>
        <v>70825.221</v>
      </c>
      <c r="AB80" s="30">
        <f t="shared" si="21"/>
        <v>632.094</v>
      </c>
      <c r="AC80" s="30">
        <f aca="true" t="shared" si="22" ref="AC80:AT80">SUM(AC75:AC79)</f>
        <v>0</v>
      </c>
      <c r="AD80" s="30">
        <f t="shared" si="22"/>
        <v>0</v>
      </c>
      <c r="AE80" s="30">
        <f t="shared" si="22"/>
        <v>0</v>
      </c>
      <c r="AF80" s="30">
        <f t="shared" si="22"/>
        <v>0</v>
      </c>
      <c r="AG80" s="30">
        <f t="shared" si="22"/>
        <v>0</v>
      </c>
      <c r="AH80" s="30">
        <f t="shared" si="22"/>
        <v>31261</v>
      </c>
      <c r="AI80" s="30">
        <f t="shared" si="22"/>
        <v>5424.751</v>
      </c>
      <c r="AJ80" s="30">
        <f t="shared" si="22"/>
        <v>19636.561</v>
      </c>
      <c r="AK80" s="30">
        <f t="shared" si="22"/>
        <v>63726.048</v>
      </c>
      <c r="AL80" s="30">
        <f t="shared" si="22"/>
        <v>628</v>
      </c>
      <c r="AM80" s="30">
        <f t="shared" si="22"/>
        <v>0</v>
      </c>
      <c r="AN80" s="30">
        <f t="shared" si="22"/>
        <v>0</v>
      </c>
      <c r="AO80" s="30">
        <f t="shared" si="22"/>
        <v>20383</v>
      </c>
      <c r="AP80" s="30">
        <f t="shared" si="22"/>
        <v>1562</v>
      </c>
      <c r="AQ80" s="30">
        <f t="shared" si="22"/>
        <v>1655</v>
      </c>
      <c r="AR80" s="30">
        <f t="shared" si="22"/>
        <v>0</v>
      </c>
      <c r="AS80" s="30">
        <f t="shared" si="22"/>
        <v>0</v>
      </c>
      <c r="AT80" s="30">
        <f t="shared" si="22"/>
        <v>14374</v>
      </c>
      <c r="AU80" s="30">
        <f>SUM(AU75:AU79)</f>
        <v>0</v>
      </c>
      <c r="AV80" s="13">
        <f t="shared" si="10"/>
        <v>669415.2869999999</v>
      </c>
      <c r="AW80" s="13"/>
      <c r="AX80" s="13"/>
      <c r="AY80" s="13"/>
      <c r="AZ80" s="13"/>
      <c r="BA80" s="29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</row>
    <row r="81" spans="1:80" ht="12.75">
      <c r="A81" s="49"/>
      <c r="B81" s="20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13"/>
      <c r="AW81" s="30"/>
      <c r="AX81" s="30"/>
      <c r="AY81" s="30"/>
      <c r="AZ81" s="13"/>
      <c r="BA81" s="29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</row>
    <row r="82" spans="1:80" ht="12.75">
      <c r="A82" s="49"/>
      <c r="B82" s="20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V82" s="13"/>
      <c r="AW82" s="30"/>
      <c r="AX82" s="13"/>
      <c r="AY82" s="13"/>
      <c r="AZ82" s="30"/>
      <c r="BA82" s="29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</row>
    <row r="83" spans="1:48" ht="12.75">
      <c r="A83" s="36" t="s">
        <v>248</v>
      </c>
      <c r="B83" s="205"/>
      <c r="AV83" s="13"/>
    </row>
    <row r="84" spans="1:51" ht="12.75">
      <c r="A84" s="114" t="e">
        <f>+'3.2 Balance Sheet'!#REF!</f>
        <v>#REF!</v>
      </c>
      <c r="B84" s="209"/>
      <c r="C84" s="13">
        <f>+'5.1. Personal Pension.'!B93</f>
        <v>1146376.893</v>
      </c>
      <c r="D84" s="13">
        <f>+'5.1. Personal Pension.'!C93</f>
        <v>190528.675</v>
      </c>
      <c r="E84" s="13">
        <f>+'5.1. Personal Pension.'!D93</f>
        <v>79354.4</v>
      </c>
      <c r="F84" s="13">
        <f>+'5.1. Personal Pension.'!E93</f>
        <v>0</v>
      </c>
      <c r="G84" s="13">
        <f>+'5.1. Personal Pension.'!F93</f>
        <v>122590.59</v>
      </c>
      <c r="H84" s="29">
        <f>+'5.1. Personal Pension.'!G93</f>
        <v>128651.457</v>
      </c>
      <c r="I84" s="13">
        <f>+'5.1. Personal Pension.'!H93</f>
        <v>53849.236000000004</v>
      </c>
      <c r="J84" s="13">
        <f>+'5.1. Personal Pension.'!I93</f>
        <v>3398.898</v>
      </c>
      <c r="K84" s="13">
        <f>+'5.1. Personal Pension.'!J93</f>
        <v>5164.567</v>
      </c>
      <c r="L84" s="13">
        <f>+'5.1. Personal Pension.'!K93</f>
        <v>0</v>
      </c>
      <c r="M84" s="13">
        <f>+'5.1. Personal Pension.'!L93</f>
        <v>0</v>
      </c>
      <c r="N84" s="13">
        <f>+'5.1. Personal Pension.'!M93</f>
        <v>121161</v>
      </c>
      <c r="O84" s="13">
        <f>+'5.1. Personal Pension.'!N93</f>
        <v>284156</v>
      </c>
      <c r="P84" s="13">
        <f>+'5.1. Personal Pension.'!O93</f>
        <v>69257</v>
      </c>
      <c r="Q84" s="13">
        <f>+'5.1. Personal Pension.'!P93</f>
        <v>15480228</v>
      </c>
      <c r="R84" s="13">
        <f>+'5.1. Personal Pension.'!Q93</f>
        <v>531624</v>
      </c>
      <c r="S84" s="13">
        <f>+'5.1. Personal Pension.'!R93</f>
        <v>1538549</v>
      </c>
      <c r="T84" s="13">
        <f>+'5.1. Personal Pension.'!S93</f>
        <v>124390</v>
      </c>
      <c r="U84" s="13">
        <f>+'5.1. Personal Pension.'!T93</f>
        <v>81623</v>
      </c>
      <c r="V84" s="13">
        <f>+'5.1. Personal Pension.'!U93</f>
        <v>811726</v>
      </c>
      <c r="W84" s="13">
        <f>+'5.1. Personal Pension.'!V93</f>
        <v>7069.958</v>
      </c>
      <c r="X84" s="13">
        <f>+'5.1. Personal Pension.'!W93</f>
        <v>44926</v>
      </c>
      <c r="Y84" s="13">
        <f>+'5.1. Personal Pension.'!X93</f>
        <v>2613032.8120000004</v>
      </c>
      <c r="Z84" s="13">
        <f>+'5.1. Personal Pension.'!Y93</f>
        <v>7488679.495</v>
      </c>
      <c r="AA84" s="13">
        <f>+'5.1. Personal Pension.'!Z93</f>
        <v>601135.615</v>
      </c>
      <c r="AB84" s="13">
        <f>+'5.1. Personal Pension.'!AA93</f>
        <v>148716.275</v>
      </c>
      <c r="AC84" s="13">
        <f>+'5.1. Personal Pension.'!AB93</f>
        <v>327103.05</v>
      </c>
      <c r="AD84" s="13">
        <f>+'5.1. Personal Pension.'!AC93</f>
        <v>7076.400000000001</v>
      </c>
      <c r="AE84" s="13">
        <f>+'5.1. Personal Pension.'!AD93</f>
        <v>18564.6</v>
      </c>
      <c r="AF84" s="13">
        <f>+'5.1. Personal Pension.'!AE93</f>
        <v>10735</v>
      </c>
      <c r="AG84" s="13">
        <f>+'5.1. Personal Pension.'!AF93</f>
        <v>4661</v>
      </c>
      <c r="AH84" s="13">
        <f>+'5.1. Personal Pension.'!AG93</f>
        <v>5269473.8</v>
      </c>
      <c r="AI84" s="13">
        <f>+'5.1. Personal Pension.'!AH93</f>
        <v>2079712.967</v>
      </c>
      <c r="AJ84" s="13">
        <f>+'5.1. Personal Pension.'!AI93</f>
        <v>2639508.986</v>
      </c>
      <c r="AK84" s="13">
        <f>+'5.1. Personal Pension.'!AJ93</f>
        <v>716637.0190000001</v>
      </c>
      <c r="AL84" s="29">
        <f>+'5.1. Personal Pension.'!AK93</f>
        <v>159644</v>
      </c>
      <c r="AM84" s="29">
        <f>+'5.1. Personal Pension.'!AL93</f>
        <v>20264</v>
      </c>
      <c r="AN84" s="29">
        <f>+'5.1. Personal Pension.'!AM93</f>
        <v>0</v>
      </c>
      <c r="AO84" s="13">
        <f>+'5.1. Personal Pension.'!AN93</f>
        <v>418604</v>
      </c>
      <c r="AP84" s="13">
        <f>+'5.1. Personal Pension.'!AO93</f>
        <v>1761138</v>
      </c>
      <c r="AQ84" s="13">
        <f>+'5.1. Personal Pension.'!AP93</f>
        <v>1010995</v>
      </c>
      <c r="AR84" s="13">
        <f>+'5.1. Personal Pension.'!AQ93</f>
        <v>60789.5</v>
      </c>
      <c r="AS84" s="13">
        <f>+'5.1. Personal Pension.'!AR93</f>
        <v>2421.8</v>
      </c>
      <c r="AT84" s="13">
        <f>+'5.1. Personal Pension.'!AS93</f>
        <v>1232892</v>
      </c>
      <c r="AU84" s="13">
        <f>+'5.1. Personal Pension.'!AT93</f>
        <v>0</v>
      </c>
      <c r="AV84" s="13">
        <f t="shared" si="10"/>
        <v>47416409.99299999</v>
      </c>
      <c r="AW84" s="13"/>
      <c r="AX84" s="13"/>
      <c r="AY84" s="13"/>
    </row>
    <row r="85" spans="1:166" ht="12.75">
      <c r="A85" s="114"/>
      <c r="B85" s="209"/>
      <c r="C85" s="13"/>
      <c r="D85" s="13"/>
      <c r="E85" s="13"/>
      <c r="F85" s="13"/>
      <c r="G85" s="13"/>
      <c r="H85" s="29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29"/>
      <c r="AM85" s="29"/>
      <c r="AN85" s="29"/>
      <c r="AO85" s="13"/>
      <c r="AP85" s="13"/>
      <c r="AQ85" s="13"/>
      <c r="AR85" s="13"/>
      <c r="AS85" s="13"/>
      <c r="AT85" s="13"/>
      <c r="AU85" s="13"/>
      <c r="AV85" s="13">
        <f t="shared" si="10"/>
        <v>0</v>
      </c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</row>
    <row r="86" spans="1:166" ht="12.75">
      <c r="A86" s="114" t="e">
        <f>+#REF!</f>
        <v>#REF!</v>
      </c>
      <c r="B86" s="209"/>
      <c r="C86" s="13">
        <f aca="true" t="shared" si="23" ref="C86:C91">+C10*$C$84/100</f>
        <v>828830.4936389999</v>
      </c>
      <c r="D86" s="13">
        <f aca="true" t="shared" si="24" ref="D86:AC86">+D10*D84/100</f>
        <v>181764.35595</v>
      </c>
      <c r="E86" s="13">
        <f t="shared" si="24"/>
        <v>0</v>
      </c>
      <c r="F86" s="13">
        <f t="shared" si="24"/>
        <v>0</v>
      </c>
      <c r="G86" s="13">
        <f t="shared" si="24"/>
        <v>41129.14294499999</v>
      </c>
      <c r="H86" s="29">
        <f t="shared" si="24"/>
        <v>25472.988486000002</v>
      </c>
      <c r="I86" s="13">
        <f t="shared" si="24"/>
        <v>48195.06622000001</v>
      </c>
      <c r="J86" s="13">
        <f t="shared" si="24"/>
        <v>3398.8979999999997</v>
      </c>
      <c r="K86" s="13">
        <f t="shared" si="24"/>
        <v>0</v>
      </c>
      <c r="L86" s="13">
        <f t="shared" si="24"/>
        <v>0</v>
      </c>
      <c r="M86" s="13">
        <f t="shared" si="24"/>
        <v>0</v>
      </c>
      <c r="N86" s="13">
        <f t="shared" si="24"/>
        <v>32713.47</v>
      </c>
      <c r="O86" s="13">
        <f t="shared" si="24"/>
        <v>90929.92</v>
      </c>
      <c r="P86" s="13">
        <f t="shared" si="24"/>
        <v>17328.1014</v>
      </c>
      <c r="Q86" s="13">
        <f t="shared" si="24"/>
        <v>6718418.952</v>
      </c>
      <c r="R86" s="13">
        <f t="shared" si="24"/>
        <v>531624</v>
      </c>
      <c r="S86" s="13">
        <f t="shared" si="24"/>
        <v>0</v>
      </c>
      <c r="T86" s="13">
        <f t="shared" si="24"/>
        <v>43536.5</v>
      </c>
      <c r="U86" s="13">
        <f t="shared" si="24"/>
        <v>0</v>
      </c>
      <c r="V86" s="13">
        <f t="shared" si="24"/>
        <v>189943.884</v>
      </c>
      <c r="W86" s="13">
        <f t="shared" si="24"/>
        <v>7069.958</v>
      </c>
      <c r="X86" s="13">
        <f t="shared" si="24"/>
        <v>16173.36</v>
      </c>
      <c r="Y86" s="13">
        <f t="shared" si="24"/>
        <v>2153139.0370880007</v>
      </c>
      <c r="Z86" s="13">
        <f t="shared" si="24"/>
        <v>6754788.90449</v>
      </c>
      <c r="AA86" s="13">
        <f t="shared" si="24"/>
        <v>533207.2905049999</v>
      </c>
      <c r="AB86" s="13">
        <f t="shared" si="24"/>
        <v>0</v>
      </c>
      <c r="AC86" s="13">
        <f t="shared" si="24"/>
        <v>109252.4187</v>
      </c>
      <c r="AD86" s="13">
        <f aca="true" t="shared" si="25" ref="AD86:AT86">+AD10*AD84/100</f>
        <v>1283.65896</v>
      </c>
      <c r="AE86" s="13">
        <f t="shared" si="25"/>
        <v>6191.2941</v>
      </c>
      <c r="AF86" s="13">
        <f t="shared" si="25"/>
        <v>1728.3350000000003</v>
      </c>
      <c r="AG86" s="13">
        <f t="shared" si="25"/>
        <v>0</v>
      </c>
      <c r="AH86" s="13">
        <f t="shared" si="25"/>
        <v>4075937.9842999997</v>
      </c>
      <c r="AI86" s="13">
        <f t="shared" si="25"/>
        <v>1938500.4565406998</v>
      </c>
      <c r="AJ86" s="13">
        <f t="shared" si="25"/>
        <v>2457118.9150674</v>
      </c>
      <c r="AK86" s="13">
        <f t="shared" si="25"/>
        <v>651638.0413767002</v>
      </c>
      <c r="AL86" s="29">
        <f>+AL10*($AL$84+$AM$84)/100</f>
        <v>135758.5768</v>
      </c>
      <c r="AM86" s="13">
        <f t="shared" si="25"/>
        <v>0</v>
      </c>
      <c r="AN86" s="13">
        <f t="shared" si="25"/>
        <v>0</v>
      </c>
      <c r="AO86" s="13">
        <f t="shared" si="25"/>
        <v>91883.578</v>
      </c>
      <c r="AP86" s="13">
        <f t="shared" si="25"/>
        <v>618335.5518</v>
      </c>
      <c r="AQ86" s="13">
        <f t="shared" si="25"/>
        <v>515405.25099999993</v>
      </c>
      <c r="AR86" s="13">
        <f t="shared" si="25"/>
        <v>0</v>
      </c>
      <c r="AS86" s="13">
        <f t="shared" si="25"/>
        <v>1711.4860600000002</v>
      </c>
      <c r="AT86" s="13">
        <f t="shared" si="25"/>
        <v>1061150.1443999999</v>
      </c>
      <c r="AU86" s="13">
        <f>+AU84*AU10/100</f>
        <v>0</v>
      </c>
      <c r="AV86" s="13">
        <f t="shared" si="10"/>
        <v>29883560.014827803</v>
      </c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</row>
    <row r="87" spans="1:166" ht="12.75">
      <c r="A87" s="114" t="e">
        <f>+#REF!</f>
        <v>#REF!</v>
      </c>
      <c r="B87" s="209"/>
      <c r="C87" s="13">
        <f t="shared" si="23"/>
        <v>304936.253538</v>
      </c>
      <c r="D87" s="13">
        <f aca="true" t="shared" si="26" ref="D87:AC87">+D11*D84/100</f>
        <v>8764.319049999998</v>
      </c>
      <c r="E87" s="13">
        <f t="shared" si="26"/>
        <v>0</v>
      </c>
      <c r="F87" s="13">
        <f t="shared" si="26"/>
        <v>0</v>
      </c>
      <c r="G87" s="13">
        <f t="shared" si="26"/>
        <v>81461.447055</v>
      </c>
      <c r="H87" s="29">
        <f t="shared" si="26"/>
        <v>103178.468514</v>
      </c>
      <c r="I87" s="13">
        <f t="shared" si="26"/>
        <v>5654.16978</v>
      </c>
      <c r="J87" s="13">
        <f t="shared" si="26"/>
        <v>0</v>
      </c>
      <c r="K87" s="13">
        <f t="shared" si="26"/>
        <v>0</v>
      </c>
      <c r="L87" s="13">
        <f t="shared" si="26"/>
        <v>0</v>
      </c>
      <c r="M87" s="13">
        <f t="shared" si="26"/>
        <v>0</v>
      </c>
      <c r="N87" s="13">
        <f t="shared" si="26"/>
        <v>78754.65</v>
      </c>
      <c r="O87" s="13">
        <f t="shared" si="26"/>
        <v>170493.6</v>
      </c>
      <c r="P87" s="13">
        <f t="shared" si="26"/>
        <v>51928.8986</v>
      </c>
      <c r="Q87" s="13">
        <f t="shared" si="26"/>
        <v>7368588.528000001</v>
      </c>
      <c r="R87" s="13">
        <f t="shared" si="26"/>
        <v>0</v>
      </c>
      <c r="S87" s="13">
        <f t="shared" si="26"/>
        <v>0</v>
      </c>
      <c r="T87" s="13">
        <f t="shared" si="26"/>
        <v>80853.5</v>
      </c>
      <c r="U87" s="13">
        <f t="shared" si="26"/>
        <v>81623</v>
      </c>
      <c r="V87" s="13">
        <f t="shared" si="26"/>
        <v>344983.55</v>
      </c>
      <c r="W87" s="13">
        <f t="shared" si="26"/>
        <v>0</v>
      </c>
      <c r="X87" s="13">
        <f t="shared" si="26"/>
        <v>28752.64</v>
      </c>
      <c r="Y87" s="13">
        <f t="shared" si="26"/>
        <v>318790.003064</v>
      </c>
      <c r="Z87" s="13">
        <f t="shared" si="26"/>
        <v>247126.42333499997</v>
      </c>
      <c r="AA87" s="13">
        <f t="shared" si="26"/>
        <v>24045.4246</v>
      </c>
      <c r="AB87" s="13">
        <f t="shared" si="26"/>
        <v>0</v>
      </c>
      <c r="AC87" s="13">
        <f t="shared" si="26"/>
        <v>216869.32215</v>
      </c>
      <c r="AD87" s="13">
        <f aca="true" t="shared" si="27" ref="AD87:AU87">+AD11*AD84/100</f>
        <v>5792.741040000001</v>
      </c>
      <c r="AE87" s="13">
        <f t="shared" si="27"/>
        <v>12373.305900000001</v>
      </c>
      <c r="AF87" s="13">
        <f t="shared" si="27"/>
        <v>8995.93</v>
      </c>
      <c r="AG87" s="13">
        <f t="shared" si="27"/>
        <v>0</v>
      </c>
      <c r="AH87" s="13">
        <f t="shared" si="27"/>
        <v>264000.63738</v>
      </c>
      <c r="AI87" s="13">
        <f t="shared" si="27"/>
        <v>141212.5104593</v>
      </c>
      <c r="AJ87" s="13">
        <f t="shared" si="27"/>
        <v>175527.347569</v>
      </c>
      <c r="AK87" s="13">
        <f t="shared" si="27"/>
        <v>60985.8103169</v>
      </c>
      <c r="AL87" s="29">
        <f>+AL11*($AL$84+$AM$84)/100</f>
        <v>44149.423200000005</v>
      </c>
      <c r="AM87" s="13">
        <f t="shared" si="27"/>
        <v>0</v>
      </c>
      <c r="AN87" s="13">
        <f t="shared" si="27"/>
        <v>0</v>
      </c>
      <c r="AO87" s="13">
        <f t="shared" si="27"/>
        <v>0</v>
      </c>
      <c r="AP87" s="13">
        <f t="shared" si="27"/>
        <v>0</v>
      </c>
      <c r="AQ87" s="13">
        <f t="shared" si="27"/>
        <v>0</v>
      </c>
      <c r="AR87" s="13">
        <f t="shared" si="27"/>
        <v>0</v>
      </c>
      <c r="AS87" s="13">
        <f t="shared" si="27"/>
        <v>0</v>
      </c>
      <c r="AT87" s="13">
        <f t="shared" si="27"/>
        <v>61028.154</v>
      </c>
      <c r="AU87" s="13">
        <f t="shared" si="27"/>
        <v>0</v>
      </c>
      <c r="AV87" s="13">
        <f t="shared" si="10"/>
        <v>10290870.0575512</v>
      </c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</row>
    <row r="88" spans="1:166" ht="12.75">
      <c r="A88" s="114" t="e">
        <f>+#REF!</f>
        <v>#REF!</v>
      </c>
      <c r="B88" s="209"/>
      <c r="C88" s="13">
        <f t="shared" si="23"/>
        <v>12610.145823</v>
      </c>
      <c r="D88" s="13">
        <f aca="true" t="shared" si="28" ref="D88:AC88">+D12*D84/100</f>
        <v>0</v>
      </c>
      <c r="E88" s="13">
        <f t="shared" si="28"/>
        <v>0</v>
      </c>
      <c r="F88" s="13">
        <f t="shared" si="28"/>
        <v>0</v>
      </c>
      <c r="G88" s="13">
        <f t="shared" si="28"/>
        <v>0</v>
      </c>
      <c r="H88" s="29">
        <f t="shared" si="28"/>
        <v>0</v>
      </c>
      <c r="I88" s="13">
        <f t="shared" si="28"/>
        <v>0</v>
      </c>
      <c r="J88" s="13">
        <f t="shared" si="28"/>
        <v>0</v>
      </c>
      <c r="K88" s="13">
        <f t="shared" si="28"/>
        <v>0</v>
      </c>
      <c r="L88" s="13">
        <f t="shared" si="28"/>
        <v>0</v>
      </c>
      <c r="M88" s="13">
        <f t="shared" si="28"/>
        <v>0</v>
      </c>
      <c r="N88" s="13">
        <f t="shared" si="28"/>
        <v>0</v>
      </c>
      <c r="O88" s="13">
        <f t="shared" si="28"/>
        <v>0</v>
      </c>
      <c r="P88" s="13">
        <f t="shared" si="28"/>
        <v>0</v>
      </c>
      <c r="Q88" s="13">
        <f t="shared" si="28"/>
        <v>108361.59599999999</v>
      </c>
      <c r="R88" s="13">
        <f t="shared" si="28"/>
        <v>0</v>
      </c>
      <c r="S88" s="13">
        <f t="shared" si="28"/>
        <v>0</v>
      </c>
      <c r="T88" s="13">
        <f t="shared" si="28"/>
        <v>0</v>
      </c>
      <c r="U88" s="13">
        <f t="shared" si="28"/>
        <v>0</v>
      </c>
      <c r="V88" s="13">
        <f t="shared" si="28"/>
        <v>36527.67</v>
      </c>
      <c r="W88" s="13">
        <f t="shared" si="28"/>
        <v>0</v>
      </c>
      <c r="X88" s="13">
        <f t="shared" si="28"/>
        <v>0</v>
      </c>
      <c r="Y88" s="13">
        <f t="shared" si="28"/>
        <v>5226.065624000001</v>
      </c>
      <c r="Z88" s="13">
        <f t="shared" si="28"/>
        <v>7488.679495000001</v>
      </c>
      <c r="AA88" s="13">
        <f t="shared" si="28"/>
        <v>0</v>
      </c>
      <c r="AB88" s="13">
        <f t="shared" si="28"/>
        <v>0</v>
      </c>
      <c r="AC88" s="13">
        <f t="shared" si="28"/>
        <v>0</v>
      </c>
      <c r="AD88" s="13">
        <f aca="true" t="shared" si="29" ref="AD88:AT88">+AD12*AD84/100</f>
        <v>0</v>
      </c>
      <c r="AE88" s="13">
        <f t="shared" si="29"/>
        <v>0</v>
      </c>
      <c r="AF88" s="13">
        <f t="shared" si="29"/>
        <v>0</v>
      </c>
      <c r="AG88" s="13">
        <f t="shared" si="29"/>
        <v>0</v>
      </c>
      <c r="AH88" s="13">
        <f t="shared" si="29"/>
        <v>5796.42118</v>
      </c>
      <c r="AI88" s="13">
        <f t="shared" si="29"/>
        <v>0</v>
      </c>
      <c r="AJ88" s="13">
        <f t="shared" si="29"/>
        <v>0</v>
      </c>
      <c r="AK88" s="13">
        <f t="shared" si="29"/>
        <v>0</v>
      </c>
      <c r="AL88" s="29">
        <f t="shared" si="29"/>
        <v>0</v>
      </c>
      <c r="AM88" s="13">
        <f t="shared" si="29"/>
        <v>0</v>
      </c>
      <c r="AN88" s="13">
        <f t="shared" si="29"/>
        <v>0</v>
      </c>
      <c r="AO88" s="13">
        <f t="shared" si="29"/>
        <v>326720.422</v>
      </c>
      <c r="AP88" s="13">
        <f t="shared" si="29"/>
        <v>1142802.4482</v>
      </c>
      <c r="AQ88" s="13">
        <f t="shared" si="29"/>
        <v>495589.74900000007</v>
      </c>
      <c r="AR88" s="13">
        <f t="shared" si="29"/>
        <v>0</v>
      </c>
      <c r="AS88" s="13">
        <f t="shared" si="29"/>
        <v>0</v>
      </c>
      <c r="AT88" s="13">
        <f t="shared" si="29"/>
        <v>0</v>
      </c>
      <c r="AU88" s="13">
        <f>+AU84*AU12/100</f>
        <v>0</v>
      </c>
      <c r="AV88" s="13">
        <f t="shared" si="10"/>
        <v>2141123.197322</v>
      </c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</row>
    <row r="89" spans="1:166" ht="12.75">
      <c r="A89" s="114" t="e">
        <f>+#REF!</f>
        <v>#REF!</v>
      </c>
      <c r="B89" s="209"/>
      <c r="C89" s="13">
        <f t="shared" si="23"/>
        <v>0</v>
      </c>
      <c r="D89" s="13">
        <f aca="true" t="shared" si="30" ref="D89:AC89">+D13*D84/100</f>
        <v>0</v>
      </c>
      <c r="E89" s="13">
        <f t="shared" si="30"/>
        <v>0</v>
      </c>
      <c r="F89" s="13">
        <f t="shared" si="30"/>
        <v>0</v>
      </c>
      <c r="G89" s="13">
        <f t="shared" si="30"/>
        <v>0</v>
      </c>
      <c r="H89" s="29">
        <f t="shared" si="30"/>
        <v>0</v>
      </c>
      <c r="I89" s="13">
        <f t="shared" si="30"/>
        <v>0</v>
      </c>
      <c r="J89" s="13">
        <f t="shared" si="30"/>
        <v>0</v>
      </c>
      <c r="K89" s="13">
        <f t="shared" si="30"/>
        <v>0</v>
      </c>
      <c r="L89" s="13">
        <f t="shared" si="30"/>
        <v>0</v>
      </c>
      <c r="M89" s="13">
        <f t="shared" si="30"/>
        <v>0</v>
      </c>
      <c r="N89" s="13">
        <f t="shared" si="30"/>
        <v>0</v>
      </c>
      <c r="O89" s="13">
        <f t="shared" si="30"/>
        <v>0</v>
      </c>
      <c r="P89" s="13">
        <f t="shared" si="30"/>
        <v>0</v>
      </c>
      <c r="Q89" s="13">
        <f t="shared" si="30"/>
        <v>1083615.96</v>
      </c>
      <c r="R89" s="13">
        <f t="shared" si="30"/>
        <v>0</v>
      </c>
      <c r="S89" s="13">
        <f t="shared" si="30"/>
        <v>0</v>
      </c>
      <c r="T89" s="13">
        <f t="shared" si="30"/>
        <v>0</v>
      </c>
      <c r="U89" s="13">
        <f t="shared" si="30"/>
        <v>0</v>
      </c>
      <c r="V89" s="13">
        <f t="shared" si="30"/>
        <v>31657.314</v>
      </c>
      <c r="W89" s="13">
        <f t="shared" si="30"/>
        <v>0</v>
      </c>
      <c r="X89" s="13">
        <f t="shared" si="30"/>
        <v>0</v>
      </c>
      <c r="Y89" s="13">
        <f t="shared" si="30"/>
        <v>49647.623428000006</v>
      </c>
      <c r="Z89" s="13">
        <f t="shared" si="30"/>
        <v>179728.30787999998</v>
      </c>
      <c r="AA89" s="13">
        <f t="shared" si="30"/>
        <v>15028.390375</v>
      </c>
      <c r="AB89" s="13">
        <f t="shared" si="30"/>
        <v>0</v>
      </c>
      <c r="AC89" s="13">
        <f t="shared" si="30"/>
        <v>0</v>
      </c>
      <c r="AD89" s="13">
        <f aca="true" t="shared" si="31" ref="AD89:AT89">+AD13*AD84/100</f>
        <v>0</v>
      </c>
      <c r="AE89" s="13">
        <f t="shared" si="31"/>
        <v>0</v>
      </c>
      <c r="AF89" s="13">
        <f t="shared" si="31"/>
        <v>0</v>
      </c>
      <c r="AG89" s="13">
        <f t="shared" si="31"/>
        <v>0</v>
      </c>
      <c r="AH89" s="13">
        <f t="shared" si="31"/>
        <v>243976.63694</v>
      </c>
      <c r="AI89" s="13">
        <f t="shared" si="31"/>
        <v>0</v>
      </c>
      <c r="AJ89" s="13">
        <f t="shared" si="31"/>
        <v>6862.723363600001</v>
      </c>
      <c r="AK89" s="13">
        <f t="shared" si="31"/>
        <v>4013.1673064000006</v>
      </c>
      <c r="AL89" s="29">
        <f t="shared" si="31"/>
        <v>0</v>
      </c>
      <c r="AM89" s="13">
        <f t="shared" si="31"/>
        <v>0</v>
      </c>
      <c r="AN89" s="13">
        <f t="shared" si="31"/>
        <v>0</v>
      </c>
      <c r="AO89" s="13">
        <f t="shared" si="31"/>
        <v>0</v>
      </c>
      <c r="AP89" s="13">
        <f t="shared" si="31"/>
        <v>0</v>
      </c>
      <c r="AQ89" s="13">
        <f t="shared" si="31"/>
        <v>0</v>
      </c>
      <c r="AR89" s="13">
        <f t="shared" si="31"/>
        <v>0</v>
      </c>
      <c r="AS89" s="13">
        <f t="shared" si="31"/>
        <v>0</v>
      </c>
      <c r="AT89" s="13">
        <f t="shared" si="31"/>
        <v>21082.4532</v>
      </c>
      <c r="AU89" s="13">
        <f>+AU84*AU13/100</f>
        <v>0</v>
      </c>
      <c r="AV89" s="13">
        <f t="shared" si="10"/>
        <v>1635612.5764929997</v>
      </c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</row>
    <row r="90" spans="1:166" ht="12.75">
      <c r="A90" s="114" t="e">
        <f>+#REF!</f>
        <v>#REF!</v>
      </c>
      <c r="B90" s="209"/>
      <c r="C90" s="13">
        <f t="shared" si="23"/>
        <v>0</v>
      </c>
      <c r="D90" s="13">
        <f aca="true" t="shared" si="32" ref="D90:AC90">+D14*D84/100</f>
        <v>0</v>
      </c>
      <c r="E90" s="13">
        <f t="shared" si="32"/>
        <v>0</v>
      </c>
      <c r="F90" s="13">
        <f t="shared" si="32"/>
        <v>0</v>
      </c>
      <c r="G90" s="13">
        <f t="shared" si="32"/>
        <v>0</v>
      </c>
      <c r="H90" s="29">
        <f t="shared" si="32"/>
        <v>0</v>
      </c>
      <c r="I90" s="13">
        <f t="shared" si="32"/>
        <v>0</v>
      </c>
      <c r="J90" s="13">
        <f t="shared" si="32"/>
        <v>0</v>
      </c>
      <c r="K90" s="13">
        <f t="shared" si="32"/>
        <v>0</v>
      </c>
      <c r="L90" s="13">
        <f t="shared" si="32"/>
        <v>0</v>
      </c>
      <c r="M90" s="13">
        <f t="shared" si="32"/>
        <v>0</v>
      </c>
      <c r="N90" s="13">
        <f t="shared" si="32"/>
        <v>0</v>
      </c>
      <c r="O90" s="13">
        <f t="shared" si="32"/>
        <v>0</v>
      </c>
      <c r="P90" s="13">
        <f t="shared" si="32"/>
        <v>0</v>
      </c>
      <c r="Q90" s="13">
        <f t="shared" si="32"/>
        <v>201242.96400000004</v>
      </c>
      <c r="R90" s="13">
        <f t="shared" si="32"/>
        <v>0</v>
      </c>
      <c r="S90" s="13">
        <f t="shared" si="32"/>
        <v>0</v>
      </c>
      <c r="T90" s="13">
        <f t="shared" si="32"/>
        <v>0</v>
      </c>
      <c r="U90" s="13">
        <f t="shared" si="32"/>
        <v>0</v>
      </c>
      <c r="V90" s="13">
        <f t="shared" si="32"/>
        <v>196437.69199999998</v>
      </c>
      <c r="W90" s="13">
        <f t="shared" si="32"/>
        <v>0</v>
      </c>
      <c r="X90" s="13">
        <f t="shared" si="32"/>
        <v>0</v>
      </c>
      <c r="Y90" s="13">
        <f t="shared" si="32"/>
        <v>86230.082796</v>
      </c>
      <c r="Z90" s="13">
        <f t="shared" si="32"/>
        <v>299547.1798</v>
      </c>
      <c r="AA90" s="13">
        <f t="shared" si="32"/>
        <v>28854.50952</v>
      </c>
      <c r="AB90" s="13">
        <f t="shared" si="32"/>
        <v>0</v>
      </c>
      <c r="AC90" s="13">
        <f t="shared" si="32"/>
        <v>0</v>
      </c>
      <c r="AD90" s="13">
        <f aca="true" t="shared" si="33" ref="AD90:AT90">+AD14*AD84/100</f>
        <v>0</v>
      </c>
      <c r="AE90" s="13">
        <f t="shared" si="33"/>
        <v>0</v>
      </c>
      <c r="AF90" s="13">
        <f t="shared" si="33"/>
        <v>0</v>
      </c>
      <c r="AG90" s="13">
        <f t="shared" si="33"/>
        <v>0</v>
      </c>
      <c r="AH90" s="13">
        <f t="shared" si="33"/>
        <v>679762.1202</v>
      </c>
      <c r="AI90" s="13">
        <f t="shared" si="33"/>
        <v>0</v>
      </c>
      <c r="AJ90" s="13">
        <f t="shared" si="33"/>
        <v>0</v>
      </c>
      <c r="AK90" s="13">
        <f t="shared" si="33"/>
        <v>0</v>
      </c>
      <c r="AL90" s="29">
        <f t="shared" si="33"/>
        <v>0</v>
      </c>
      <c r="AM90" s="13">
        <f t="shared" si="33"/>
        <v>0</v>
      </c>
      <c r="AN90" s="13">
        <f t="shared" si="33"/>
        <v>0</v>
      </c>
      <c r="AO90" s="13">
        <f t="shared" si="33"/>
        <v>0</v>
      </c>
      <c r="AP90" s="13">
        <f t="shared" si="33"/>
        <v>0</v>
      </c>
      <c r="AQ90" s="13">
        <f t="shared" si="33"/>
        <v>0</v>
      </c>
      <c r="AR90" s="13">
        <f t="shared" si="33"/>
        <v>0</v>
      </c>
      <c r="AS90" s="13">
        <f t="shared" si="33"/>
        <v>0</v>
      </c>
      <c r="AT90" s="13">
        <f t="shared" si="33"/>
        <v>89631.2484</v>
      </c>
      <c r="AU90" s="13">
        <f>+AU84*AU14/100</f>
        <v>0</v>
      </c>
      <c r="AV90" s="13">
        <f t="shared" si="10"/>
        <v>1581705.796716</v>
      </c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</row>
    <row r="91" spans="1:166" ht="12.75">
      <c r="A91" s="114" t="e">
        <f>+#REF!</f>
        <v>#REF!</v>
      </c>
      <c r="B91" s="209"/>
      <c r="C91" s="13">
        <f t="shared" si="23"/>
        <v>0</v>
      </c>
      <c r="D91" s="13">
        <f aca="true" t="shared" si="34" ref="D91:AC91">+D15*D84/100</f>
        <v>0</v>
      </c>
      <c r="E91" s="13">
        <f t="shared" si="34"/>
        <v>79354.4</v>
      </c>
      <c r="F91" s="13">
        <f t="shared" si="34"/>
        <v>0</v>
      </c>
      <c r="G91" s="13">
        <f t="shared" si="34"/>
        <v>0</v>
      </c>
      <c r="H91" s="29">
        <f t="shared" si="34"/>
        <v>0</v>
      </c>
      <c r="I91" s="13">
        <f t="shared" si="34"/>
        <v>0</v>
      </c>
      <c r="J91" s="13">
        <f t="shared" si="34"/>
        <v>0</v>
      </c>
      <c r="K91" s="13">
        <f t="shared" si="34"/>
        <v>5164.567</v>
      </c>
      <c r="L91" s="13">
        <f t="shared" si="34"/>
        <v>0</v>
      </c>
      <c r="M91" s="13">
        <f t="shared" si="34"/>
        <v>0</v>
      </c>
      <c r="N91" s="13">
        <f t="shared" si="34"/>
        <v>9692.88</v>
      </c>
      <c r="O91" s="13">
        <f t="shared" si="34"/>
        <v>22732.48</v>
      </c>
      <c r="P91" s="13">
        <f t="shared" si="34"/>
        <v>0</v>
      </c>
      <c r="Q91" s="13">
        <f t="shared" si="34"/>
        <v>0</v>
      </c>
      <c r="R91" s="13">
        <f t="shared" si="34"/>
        <v>0</v>
      </c>
      <c r="S91" s="13">
        <f t="shared" si="34"/>
        <v>1538549</v>
      </c>
      <c r="T91" s="13">
        <f t="shared" si="34"/>
        <v>0</v>
      </c>
      <c r="U91" s="13">
        <f t="shared" si="34"/>
        <v>0</v>
      </c>
      <c r="V91" s="13">
        <f t="shared" si="34"/>
        <v>12175.89</v>
      </c>
      <c r="W91" s="13">
        <f t="shared" si="34"/>
        <v>0</v>
      </c>
      <c r="X91" s="13">
        <f t="shared" si="34"/>
        <v>0</v>
      </c>
      <c r="Y91" s="13">
        <f t="shared" si="34"/>
        <v>0</v>
      </c>
      <c r="Z91" s="13">
        <f t="shared" si="34"/>
        <v>0</v>
      </c>
      <c r="AA91" s="13">
        <f t="shared" si="34"/>
        <v>0</v>
      </c>
      <c r="AB91" s="13">
        <f t="shared" si="34"/>
        <v>148716.275</v>
      </c>
      <c r="AC91" s="13">
        <f t="shared" si="34"/>
        <v>981.3091499999999</v>
      </c>
      <c r="AD91" s="13">
        <f aca="true" t="shared" si="35" ref="AD91:AT91">+AD15*AD84/100</f>
        <v>0</v>
      </c>
      <c r="AE91" s="13">
        <f t="shared" si="35"/>
        <v>0</v>
      </c>
      <c r="AF91" s="13">
        <f t="shared" si="35"/>
        <v>10.735</v>
      </c>
      <c r="AG91" s="13">
        <f t="shared" si="35"/>
        <v>0</v>
      </c>
      <c r="AH91" s="13">
        <f t="shared" si="35"/>
        <v>0</v>
      </c>
      <c r="AI91" s="13">
        <f t="shared" si="35"/>
        <v>0</v>
      </c>
      <c r="AJ91" s="13">
        <f t="shared" si="35"/>
        <v>0</v>
      </c>
      <c r="AK91" s="13">
        <f t="shared" si="35"/>
        <v>0</v>
      </c>
      <c r="AL91" s="29">
        <f t="shared" si="35"/>
        <v>0</v>
      </c>
      <c r="AM91" s="13">
        <f t="shared" si="35"/>
        <v>0</v>
      </c>
      <c r="AN91" s="13">
        <f t="shared" si="35"/>
        <v>0</v>
      </c>
      <c r="AO91" s="13">
        <f t="shared" si="35"/>
        <v>0</v>
      </c>
      <c r="AP91" s="13">
        <f t="shared" si="35"/>
        <v>0</v>
      </c>
      <c r="AQ91" s="13">
        <f t="shared" si="35"/>
        <v>0</v>
      </c>
      <c r="AR91" s="13">
        <f t="shared" si="35"/>
        <v>60789.5</v>
      </c>
      <c r="AS91" s="13">
        <f t="shared" si="35"/>
        <v>710.31394</v>
      </c>
      <c r="AT91" s="13">
        <f t="shared" si="35"/>
        <v>0</v>
      </c>
      <c r="AU91" s="13">
        <f>+AU84*AU26/100</f>
        <v>0</v>
      </c>
      <c r="AV91" s="13">
        <f t="shared" si="10"/>
        <v>1878877.35009</v>
      </c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</row>
    <row r="92" spans="1:52" ht="12.75">
      <c r="A92" s="114" t="e">
        <f>+#REF!</f>
        <v>#REF!</v>
      </c>
      <c r="B92" s="209"/>
      <c r="C92" s="13">
        <f aca="true" t="shared" si="36" ref="C92:AB92">SUM(C86:C91)</f>
        <v>1146376.893</v>
      </c>
      <c r="D92" s="13">
        <f t="shared" si="36"/>
        <v>190528.675</v>
      </c>
      <c r="E92" s="13">
        <f t="shared" si="36"/>
        <v>79354.4</v>
      </c>
      <c r="F92" s="13">
        <f t="shared" si="36"/>
        <v>0</v>
      </c>
      <c r="G92" s="13">
        <f t="shared" si="36"/>
        <v>122590.59</v>
      </c>
      <c r="H92" s="29">
        <f t="shared" si="36"/>
        <v>128651.457</v>
      </c>
      <c r="I92" s="13">
        <f t="shared" si="36"/>
        <v>53849.236000000004</v>
      </c>
      <c r="J92" s="13">
        <f t="shared" si="36"/>
        <v>3398.8979999999997</v>
      </c>
      <c r="K92" s="13">
        <f t="shared" si="36"/>
        <v>5164.567</v>
      </c>
      <c r="L92" s="13">
        <f t="shared" si="36"/>
        <v>0</v>
      </c>
      <c r="M92" s="13">
        <f t="shared" si="36"/>
        <v>0</v>
      </c>
      <c r="N92" s="13">
        <f t="shared" si="36"/>
        <v>121161</v>
      </c>
      <c r="O92" s="13">
        <f t="shared" si="36"/>
        <v>284156</v>
      </c>
      <c r="P92" s="13">
        <f t="shared" si="36"/>
        <v>69257</v>
      </c>
      <c r="Q92" s="13">
        <f t="shared" si="36"/>
        <v>15480228.000000002</v>
      </c>
      <c r="R92" s="13">
        <f t="shared" si="36"/>
        <v>531624</v>
      </c>
      <c r="S92" s="13">
        <f t="shared" si="36"/>
        <v>1538549</v>
      </c>
      <c r="T92" s="13">
        <f t="shared" si="36"/>
        <v>124390</v>
      </c>
      <c r="U92" s="13">
        <f t="shared" si="36"/>
        <v>81623</v>
      </c>
      <c r="V92" s="13">
        <f t="shared" si="36"/>
        <v>811726.0000000001</v>
      </c>
      <c r="W92" s="13">
        <f t="shared" si="36"/>
        <v>7069.958</v>
      </c>
      <c r="X92" s="13">
        <f t="shared" si="36"/>
        <v>44926</v>
      </c>
      <c r="Y92" s="13">
        <f t="shared" si="36"/>
        <v>2613032.812000001</v>
      </c>
      <c r="Z92" s="13">
        <f t="shared" si="36"/>
        <v>7488679.495</v>
      </c>
      <c r="AA92" s="13">
        <f t="shared" si="36"/>
        <v>601135.6149999999</v>
      </c>
      <c r="AB92" s="13">
        <f t="shared" si="36"/>
        <v>148716.275</v>
      </c>
      <c r="AC92" s="13">
        <f aca="true" t="shared" si="37" ref="AC92:AT92">SUM(AC86:AC91)</f>
        <v>327103.05</v>
      </c>
      <c r="AD92" s="13">
        <f t="shared" si="37"/>
        <v>7076.400000000001</v>
      </c>
      <c r="AE92" s="13">
        <f t="shared" si="37"/>
        <v>18564.600000000002</v>
      </c>
      <c r="AF92" s="13">
        <f t="shared" si="37"/>
        <v>10735.000000000002</v>
      </c>
      <c r="AG92" s="13">
        <f t="shared" si="37"/>
        <v>0</v>
      </c>
      <c r="AH92" s="13">
        <f t="shared" si="37"/>
        <v>5269473.799999999</v>
      </c>
      <c r="AI92" s="13">
        <f t="shared" si="37"/>
        <v>2079712.9669999997</v>
      </c>
      <c r="AJ92" s="13">
        <f t="shared" si="37"/>
        <v>2639508.986</v>
      </c>
      <c r="AK92" s="13">
        <f t="shared" si="37"/>
        <v>716637.0190000002</v>
      </c>
      <c r="AL92" s="29">
        <f t="shared" si="37"/>
        <v>179908</v>
      </c>
      <c r="AM92" s="29">
        <f t="shared" si="37"/>
        <v>0</v>
      </c>
      <c r="AN92" s="29">
        <f t="shared" si="37"/>
        <v>0</v>
      </c>
      <c r="AO92" s="13">
        <f t="shared" si="37"/>
        <v>418604</v>
      </c>
      <c r="AP92" s="13">
        <f t="shared" si="37"/>
        <v>1761138</v>
      </c>
      <c r="AQ92" s="13">
        <f t="shared" si="37"/>
        <v>1010995</v>
      </c>
      <c r="AR92" s="13">
        <f t="shared" si="37"/>
        <v>60789.5</v>
      </c>
      <c r="AS92" s="13">
        <f t="shared" si="37"/>
        <v>2421.8</v>
      </c>
      <c r="AT92" s="13">
        <f t="shared" si="37"/>
        <v>1232892</v>
      </c>
      <c r="AU92" s="13">
        <f>SUM(AU86:AU91)</f>
        <v>0</v>
      </c>
      <c r="AV92" s="13">
        <f t="shared" si="10"/>
        <v>47411748.993</v>
      </c>
      <c r="AX92" s="13"/>
      <c r="AY92" s="13"/>
      <c r="AZ92" s="13"/>
    </row>
    <row r="93" spans="1:51" ht="12.75">
      <c r="A93" s="1"/>
      <c r="C93" s="13"/>
      <c r="D93" s="13"/>
      <c r="E93" s="29"/>
      <c r="F93" s="13"/>
      <c r="G93" s="13"/>
      <c r="H93" s="29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9"/>
      <c r="W93" s="13"/>
      <c r="X93" s="13"/>
      <c r="Y93" s="13"/>
      <c r="Z93" s="13"/>
      <c r="AA93" s="13"/>
      <c r="AB93" s="13"/>
      <c r="AC93" s="29"/>
      <c r="AD93" s="13"/>
      <c r="AE93" s="13"/>
      <c r="AF93" s="13"/>
      <c r="AG93" s="29"/>
      <c r="AH93" s="29"/>
      <c r="AI93" s="13"/>
      <c r="AJ93" s="29"/>
      <c r="AK93" s="13"/>
      <c r="AL93" s="29"/>
      <c r="AM93" s="29"/>
      <c r="AN93" s="29"/>
      <c r="AO93" s="13"/>
      <c r="AP93" s="13"/>
      <c r="AQ93" s="13"/>
      <c r="AR93" s="13"/>
      <c r="AS93" s="29"/>
      <c r="AT93" s="13"/>
      <c r="AU93" s="13"/>
      <c r="AV93" s="13"/>
      <c r="AW93" s="13"/>
      <c r="AX93" s="13"/>
      <c r="AY93" s="13"/>
    </row>
    <row r="94" spans="1:51" ht="12.75">
      <c r="A94" s="1"/>
      <c r="C94" s="96"/>
      <c r="D94" s="96"/>
      <c r="E94" s="96"/>
      <c r="F94" s="96"/>
      <c r="G94" s="96"/>
      <c r="H94" s="127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127"/>
      <c r="AM94" s="127"/>
      <c r="AN94" s="127"/>
      <c r="AO94" s="96"/>
      <c r="AP94" s="96"/>
      <c r="AQ94" s="96"/>
      <c r="AR94" s="96"/>
      <c r="AS94" s="96"/>
      <c r="AT94" s="96"/>
      <c r="AU94" s="96"/>
      <c r="AV94" s="13"/>
      <c r="AW94" s="96"/>
      <c r="AX94" s="96"/>
      <c r="AY94" s="96"/>
    </row>
    <row r="95" spans="1:51" ht="12.75">
      <c r="A95" s="1"/>
      <c r="C95" s="96"/>
      <c r="D95" s="96"/>
      <c r="E95" s="96"/>
      <c r="F95" s="96"/>
      <c r="G95" s="96"/>
      <c r="H95" s="127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127"/>
      <c r="AM95" s="127"/>
      <c r="AN95" s="127"/>
      <c r="AO95" s="96"/>
      <c r="AP95" s="96"/>
      <c r="AQ95" s="96"/>
      <c r="AR95" s="96"/>
      <c r="AS95" s="96"/>
      <c r="AT95" s="96"/>
      <c r="AU95" s="96"/>
      <c r="AV95" s="13"/>
      <c r="AW95" s="96"/>
      <c r="AX95" s="96"/>
      <c r="AY95" s="96"/>
    </row>
    <row r="96" spans="1:51" ht="12.75">
      <c r="A96" s="36" t="s">
        <v>249</v>
      </c>
      <c r="B96" s="205"/>
      <c r="C96" s="96"/>
      <c r="D96" s="96"/>
      <c r="E96" s="96"/>
      <c r="F96" s="96"/>
      <c r="G96" s="96"/>
      <c r="H96" s="127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127"/>
      <c r="AM96" s="127"/>
      <c r="AN96" s="127"/>
      <c r="AO96" s="96"/>
      <c r="AP96" s="96"/>
      <c r="AQ96" s="96"/>
      <c r="AR96" s="96"/>
      <c r="AS96" s="96"/>
      <c r="AT96" s="96"/>
      <c r="AU96" s="96"/>
      <c r="AV96" s="13"/>
      <c r="AW96" s="96"/>
      <c r="AX96" s="96"/>
      <c r="AY96" s="96"/>
    </row>
    <row r="97" spans="1:51" ht="12.75">
      <c r="A97" s="114" t="e">
        <f>+#REF!</f>
        <v>#REF!</v>
      </c>
      <c r="B97" s="209"/>
      <c r="C97" s="13">
        <f aca="true" t="shared" si="38" ref="C97:AB97">+C84*C17/100</f>
        <v>781829.0410259999</v>
      </c>
      <c r="D97" s="13">
        <f t="shared" si="38"/>
        <v>173762.1516</v>
      </c>
      <c r="E97" s="13">
        <f t="shared" si="38"/>
        <v>79354.4</v>
      </c>
      <c r="F97" s="13">
        <f t="shared" si="38"/>
        <v>0</v>
      </c>
      <c r="G97" s="13">
        <f t="shared" si="38"/>
        <v>114131.83928999999</v>
      </c>
      <c r="H97" s="29">
        <f t="shared" si="38"/>
        <v>122347.535607</v>
      </c>
      <c r="I97" s="13">
        <f t="shared" si="38"/>
        <v>38232.95756</v>
      </c>
      <c r="J97" s="13">
        <f t="shared" si="38"/>
        <v>3059.0082</v>
      </c>
      <c r="K97" s="13">
        <f t="shared" si="38"/>
        <v>5164.567</v>
      </c>
      <c r="L97" s="13">
        <f t="shared" si="38"/>
        <v>0</v>
      </c>
      <c r="M97" s="13">
        <f t="shared" si="38"/>
        <v>0</v>
      </c>
      <c r="N97" s="13">
        <f t="shared" si="38"/>
        <v>105410.07</v>
      </c>
      <c r="O97" s="13">
        <f t="shared" si="38"/>
        <v>250057.28</v>
      </c>
      <c r="P97" s="13">
        <f t="shared" si="38"/>
        <v>57933.480500000005</v>
      </c>
      <c r="Q97" s="13">
        <f t="shared" si="38"/>
        <v>10371752.76</v>
      </c>
      <c r="R97" s="13">
        <f t="shared" si="38"/>
        <v>476335.104</v>
      </c>
      <c r="S97" s="13">
        <f t="shared" si="38"/>
        <v>1538549</v>
      </c>
      <c r="T97" s="13">
        <f t="shared" si="38"/>
        <v>80853.5</v>
      </c>
      <c r="U97" s="13">
        <f t="shared" si="38"/>
        <v>81623</v>
      </c>
      <c r="V97" s="13">
        <f t="shared" si="38"/>
        <v>794679.7540000001</v>
      </c>
      <c r="W97" s="13">
        <f t="shared" si="38"/>
        <v>6387.707052999999</v>
      </c>
      <c r="X97" s="13">
        <f t="shared" si="38"/>
        <v>37782.765999999996</v>
      </c>
      <c r="Y97" s="13">
        <f t="shared" si="38"/>
        <v>1787314.4434080005</v>
      </c>
      <c r="Z97" s="13">
        <f t="shared" si="38"/>
        <v>5122256.774580001</v>
      </c>
      <c r="AA97" s="13">
        <f t="shared" si="38"/>
        <v>519381.17136</v>
      </c>
      <c r="AB97" s="13">
        <f t="shared" si="38"/>
        <v>148716.275</v>
      </c>
      <c r="AC97" s="13">
        <f aca="true" t="shared" si="39" ref="AC97:AU97">+AC84*AC17/100</f>
        <v>327103.05</v>
      </c>
      <c r="AD97" s="13">
        <f t="shared" si="39"/>
        <v>6499.6734</v>
      </c>
      <c r="AE97" s="13">
        <f t="shared" si="39"/>
        <v>15791.04876</v>
      </c>
      <c r="AF97" s="13">
        <f t="shared" si="39"/>
        <v>9908.405</v>
      </c>
      <c r="AG97" s="13">
        <f t="shared" si="39"/>
        <v>0</v>
      </c>
      <c r="AH97" s="13">
        <f t="shared" si="39"/>
        <v>3915219.0333999996</v>
      </c>
      <c r="AI97" s="13">
        <f t="shared" si="39"/>
        <v>1478467.9482403002</v>
      </c>
      <c r="AJ97" s="13">
        <f t="shared" si="39"/>
        <v>2156214.8906634</v>
      </c>
      <c r="AK97" s="13">
        <f t="shared" si="39"/>
        <v>658159.4382496001</v>
      </c>
      <c r="AL97" s="29">
        <f>+($AL$84+$AM$84)*AL17/100</f>
        <v>146049.3144</v>
      </c>
      <c r="AM97" s="29">
        <f t="shared" si="39"/>
        <v>0</v>
      </c>
      <c r="AN97" s="29">
        <f t="shared" si="39"/>
        <v>0</v>
      </c>
      <c r="AO97" s="13">
        <f t="shared" si="39"/>
        <v>348864.5736</v>
      </c>
      <c r="AP97" s="13">
        <f t="shared" si="39"/>
        <v>1284750.171</v>
      </c>
      <c r="AQ97" s="13">
        <f t="shared" si="39"/>
        <v>582535.319</v>
      </c>
      <c r="AR97" s="13">
        <f t="shared" si="39"/>
        <v>60789.5</v>
      </c>
      <c r="AS97" s="13">
        <f t="shared" si="39"/>
        <v>2421.8</v>
      </c>
      <c r="AT97" s="13">
        <f t="shared" si="39"/>
        <v>1112315.1624</v>
      </c>
      <c r="AU97" s="13">
        <f t="shared" si="39"/>
        <v>0</v>
      </c>
      <c r="AV97" s="13">
        <f t="shared" si="10"/>
        <v>34802003.9142973</v>
      </c>
      <c r="AW97" s="13"/>
      <c r="AX97" s="13"/>
      <c r="AY97" s="13"/>
    </row>
    <row r="98" spans="1:51" ht="12.75">
      <c r="A98" s="114" t="e">
        <f>+#REF!</f>
        <v>#REF!</v>
      </c>
      <c r="B98" s="209"/>
      <c r="C98" s="13">
        <f aca="true" t="shared" si="40" ref="C98:AB98">+C84*C18/100</f>
        <v>364547.851974</v>
      </c>
      <c r="D98" s="13">
        <f t="shared" si="40"/>
        <v>16766.523400000002</v>
      </c>
      <c r="E98" s="13">
        <f t="shared" si="40"/>
        <v>0</v>
      </c>
      <c r="F98" s="13">
        <f t="shared" si="40"/>
        <v>0</v>
      </c>
      <c r="G98" s="13">
        <f t="shared" si="40"/>
        <v>8458.75071</v>
      </c>
      <c r="H98" s="29">
        <f t="shared" si="40"/>
        <v>6303.9213930000005</v>
      </c>
      <c r="I98" s="13">
        <f t="shared" si="40"/>
        <v>15616.27844</v>
      </c>
      <c r="J98" s="13">
        <f t="shared" si="40"/>
        <v>339.88980000000004</v>
      </c>
      <c r="K98" s="13">
        <f t="shared" si="40"/>
        <v>0</v>
      </c>
      <c r="L98" s="13">
        <f t="shared" si="40"/>
        <v>0</v>
      </c>
      <c r="M98" s="13">
        <f t="shared" si="40"/>
        <v>0</v>
      </c>
      <c r="N98" s="13">
        <f t="shared" si="40"/>
        <v>15750.93</v>
      </c>
      <c r="O98" s="13">
        <f t="shared" si="40"/>
        <v>34098.72</v>
      </c>
      <c r="P98" s="13">
        <f t="shared" si="40"/>
        <v>11323.519500000002</v>
      </c>
      <c r="Q98" s="13">
        <f t="shared" si="40"/>
        <v>5108475.24</v>
      </c>
      <c r="R98" s="13">
        <f t="shared" si="40"/>
        <v>55288.89600000001</v>
      </c>
      <c r="S98" s="13">
        <f t="shared" si="40"/>
        <v>0</v>
      </c>
      <c r="T98" s="13">
        <f t="shared" si="40"/>
        <v>43536.5</v>
      </c>
      <c r="U98" s="13">
        <f t="shared" si="40"/>
        <v>0</v>
      </c>
      <c r="V98" s="13">
        <f t="shared" si="40"/>
        <v>17046.246</v>
      </c>
      <c r="W98" s="13">
        <f t="shared" si="40"/>
        <v>682.250947</v>
      </c>
      <c r="X98" s="13">
        <f t="shared" si="40"/>
        <v>7143.234</v>
      </c>
      <c r="Y98" s="13">
        <f t="shared" si="40"/>
        <v>825718.3685920001</v>
      </c>
      <c r="Z98" s="13">
        <f t="shared" si="40"/>
        <v>2366422.72042</v>
      </c>
      <c r="AA98" s="13">
        <f t="shared" si="40"/>
        <v>81754.44364</v>
      </c>
      <c r="AB98" s="13">
        <f t="shared" si="40"/>
        <v>0</v>
      </c>
      <c r="AC98" s="13">
        <f aca="true" t="shared" si="41" ref="AC98:AU98">+AC84*AC18/100</f>
        <v>0</v>
      </c>
      <c r="AD98" s="13">
        <f t="shared" si="41"/>
        <v>576.7266000000001</v>
      </c>
      <c r="AE98" s="13">
        <f t="shared" si="41"/>
        <v>2773.5512399999993</v>
      </c>
      <c r="AF98" s="13">
        <f t="shared" si="41"/>
        <v>826.595</v>
      </c>
      <c r="AG98" s="13">
        <f t="shared" si="41"/>
        <v>0</v>
      </c>
      <c r="AH98" s="13">
        <f t="shared" si="41"/>
        <v>1354254.7666</v>
      </c>
      <c r="AI98" s="13">
        <f t="shared" si="41"/>
        <v>601245.0187597</v>
      </c>
      <c r="AJ98" s="13">
        <f t="shared" si="41"/>
        <v>483294.0953366</v>
      </c>
      <c r="AK98" s="13">
        <f t="shared" si="41"/>
        <v>58477.580750400004</v>
      </c>
      <c r="AL98" s="29">
        <f>+($AL$84+$AM$84)*AL18/100</f>
        <v>33858.6856</v>
      </c>
      <c r="AM98" s="29">
        <f t="shared" si="41"/>
        <v>0</v>
      </c>
      <c r="AN98" s="29">
        <f t="shared" si="41"/>
        <v>0</v>
      </c>
      <c r="AO98" s="13">
        <f t="shared" si="41"/>
        <v>69739.4264</v>
      </c>
      <c r="AP98" s="13">
        <f t="shared" si="41"/>
        <v>476387.82899999997</v>
      </c>
      <c r="AQ98" s="13">
        <f t="shared" si="41"/>
        <v>428459.68100000004</v>
      </c>
      <c r="AR98" s="13">
        <f t="shared" si="41"/>
        <v>0</v>
      </c>
      <c r="AS98" s="13">
        <f t="shared" si="41"/>
        <v>0</v>
      </c>
      <c r="AT98" s="13">
        <f t="shared" si="41"/>
        <v>120576.8376</v>
      </c>
      <c r="AU98" s="13">
        <f t="shared" si="41"/>
        <v>0</v>
      </c>
      <c r="AV98" s="13">
        <f t="shared" si="10"/>
        <v>12609745.0787027</v>
      </c>
      <c r="AW98" s="13"/>
      <c r="AX98" s="13"/>
      <c r="AY98" s="13"/>
    </row>
    <row r="99" spans="1:51" ht="12.75">
      <c r="A99" s="114" t="e">
        <f>+#REF!</f>
        <v>#REF!</v>
      </c>
      <c r="B99" s="209"/>
      <c r="C99" s="13">
        <f aca="true" t="shared" si="42" ref="C99:AB99">SUM(C97:C98)</f>
        <v>1146376.893</v>
      </c>
      <c r="D99" s="13">
        <f t="shared" si="42"/>
        <v>190528.67500000002</v>
      </c>
      <c r="E99" s="13">
        <f t="shared" si="42"/>
        <v>79354.4</v>
      </c>
      <c r="F99" s="13">
        <f t="shared" si="42"/>
        <v>0</v>
      </c>
      <c r="G99" s="13">
        <f t="shared" si="42"/>
        <v>122590.59</v>
      </c>
      <c r="H99" s="29">
        <f t="shared" si="42"/>
        <v>128651.457</v>
      </c>
      <c r="I99" s="13">
        <f t="shared" si="42"/>
        <v>53849.236000000004</v>
      </c>
      <c r="J99" s="13">
        <f t="shared" si="42"/>
        <v>3398.898</v>
      </c>
      <c r="K99" s="13">
        <f t="shared" si="42"/>
        <v>5164.567</v>
      </c>
      <c r="L99" s="13">
        <f t="shared" si="42"/>
        <v>0</v>
      </c>
      <c r="M99" s="13">
        <f t="shared" si="42"/>
        <v>0</v>
      </c>
      <c r="N99" s="13">
        <f t="shared" si="42"/>
        <v>121161</v>
      </c>
      <c r="O99" s="13">
        <f t="shared" si="42"/>
        <v>284156</v>
      </c>
      <c r="P99" s="13">
        <f t="shared" si="42"/>
        <v>69257</v>
      </c>
      <c r="Q99" s="13">
        <f t="shared" si="42"/>
        <v>15480228</v>
      </c>
      <c r="R99" s="13">
        <f t="shared" si="42"/>
        <v>531624</v>
      </c>
      <c r="S99" s="13">
        <f t="shared" si="42"/>
        <v>1538549</v>
      </c>
      <c r="T99" s="13">
        <f t="shared" si="42"/>
        <v>124390</v>
      </c>
      <c r="U99" s="13">
        <f t="shared" si="42"/>
        <v>81623</v>
      </c>
      <c r="V99" s="13">
        <f t="shared" si="42"/>
        <v>811726.0000000001</v>
      </c>
      <c r="W99" s="13">
        <f t="shared" si="42"/>
        <v>7069.957999999999</v>
      </c>
      <c r="X99" s="13">
        <f t="shared" si="42"/>
        <v>44926</v>
      </c>
      <c r="Y99" s="13">
        <f t="shared" si="42"/>
        <v>2613032.812000001</v>
      </c>
      <c r="Z99" s="13">
        <f t="shared" si="42"/>
        <v>7488679.495000001</v>
      </c>
      <c r="AA99" s="13">
        <f t="shared" si="42"/>
        <v>601135.615</v>
      </c>
      <c r="AB99" s="13">
        <f t="shared" si="42"/>
        <v>148716.275</v>
      </c>
      <c r="AC99" s="13">
        <f aca="true" t="shared" si="43" ref="AC99:AT99">SUM(AC97:AC98)</f>
        <v>327103.05</v>
      </c>
      <c r="AD99" s="13">
        <f t="shared" si="43"/>
        <v>7076.4</v>
      </c>
      <c r="AE99" s="13">
        <f t="shared" si="43"/>
        <v>18564.6</v>
      </c>
      <c r="AF99" s="13">
        <f t="shared" si="43"/>
        <v>10735</v>
      </c>
      <c r="AG99" s="13">
        <f t="shared" si="43"/>
        <v>0</v>
      </c>
      <c r="AH99" s="13">
        <f t="shared" si="43"/>
        <v>5269473.8</v>
      </c>
      <c r="AI99" s="13">
        <f t="shared" si="43"/>
        <v>2079712.9670000002</v>
      </c>
      <c r="AJ99" s="13">
        <f t="shared" si="43"/>
        <v>2639508.9859999996</v>
      </c>
      <c r="AK99" s="13">
        <f t="shared" si="43"/>
        <v>716637.0190000001</v>
      </c>
      <c r="AL99" s="29">
        <f t="shared" si="43"/>
        <v>179908</v>
      </c>
      <c r="AM99" s="29">
        <f t="shared" si="43"/>
        <v>0</v>
      </c>
      <c r="AN99" s="29">
        <f t="shared" si="43"/>
        <v>0</v>
      </c>
      <c r="AO99" s="13">
        <f t="shared" si="43"/>
        <v>418604</v>
      </c>
      <c r="AP99" s="13">
        <f t="shared" si="43"/>
        <v>1761138</v>
      </c>
      <c r="AQ99" s="13">
        <f t="shared" si="43"/>
        <v>1010995</v>
      </c>
      <c r="AR99" s="13">
        <f t="shared" si="43"/>
        <v>60789.5</v>
      </c>
      <c r="AS99" s="13">
        <f t="shared" si="43"/>
        <v>2421.8</v>
      </c>
      <c r="AT99" s="13">
        <f t="shared" si="43"/>
        <v>1232892</v>
      </c>
      <c r="AU99" s="13">
        <f>SUM(AU97:AU98)</f>
        <v>0</v>
      </c>
      <c r="AV99" s="13">
        <f t="shared" si="10"/>
        <v>47411748.993</v>
      </c>
      <c r="AW99" s="13"/>
      <c r="AX99" s="13"/>
      <c r="AY99" s="13"/>
    </row>
    <row r="100" spans="1:51" ht="12.75">
      <c r="A100" s="1"/>
      <c r="C100" s="13"/>
      <c r="D100" s="13"/>
      <c r="E100" s="13"/>
      <c r="F100" s="13"/>
      <c r="G100" s="13"/>
      <c r="H100" s="29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29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29"/>
      <c r="AM100" s="29"/>
      <c r="AN100" s="29"/>
      <c r="AO100" s="13"/>
      <c r="AP100" s="13"/>
      <c r="AQ100" s="13"/>
      <c r="AR100" s="13"/>
      <c r="AS100" s="29"/>
      <c r="AT100" s="13"/>
      <c r="AU100" s="13"/>
      <c r="AV100" s="13"/>
      <c r="AW100" s="13"/>
      <c r="AX100" s="13"/>
      <c r="AY100" s="13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</sheetData>
  <mergeCells count="73">
    <mergeCell ref="Y20:AB20"/>
    <mergeCell ref="C1:E1"/>
    <mergeCell ref="G1:H1"/>
    <mergeCell ref="I1:K1"/>
    <mergeCell ref="C2:E2"/>
    <mergeCell ref="G2:H2"/>
    <mergeCell ref="I2:K2"/>
    <mergeCell ref="L1:M1"/>
    <mergeCell ref="N1:O1"/>
    <mergeCell ref="Q1:S1"/>
    <mergeCell ref="Y1:AB1"/>
    <mergeCell ref="T1:U1"/>
    <mergeCell ref="AD1:AE1"/>
    <mergeCell ref="AI1:AK1"/>
    <mergeCell ref="AL1:AN1"/>
    <mergeCell ref="AO1:AR1"/>
    <mergeCell ref="L2:M2"/>
    <mergeCell ref="N2:O2"/>
    <mergeCell ref="Q2:S2"/>
    <mergeCell ref="Y2:AB2"/>
    <mergeCell ref="T2:U2"/>
    <mergeCell ref="AD2:AE2"/>
    <mergeCell ref="AI2:AK2"/>
    <mergeCell ref="AL2:AN2"/>
    <mergeCell ref="AO2:AR2"/>
    <mergeCell ref="AO3:AR3"/>
    <mergeCell ref="C4:E4"/>
    <mergeCell ref="G4:H4"/>
    <mergeCell ref="I4:K4"/>
    <mergeCell ref="L4:M4"/>
    <mergeCell ref="N4:O4"/>
    <mergeCell ref="Q4:S4"/>
    <mergeCell ref="Q3:S3"/>
    <mergeCell ref="Y3:AB3"/>
    <mergeCell ref="AD3:AE3"/>
    <mergeCell ref="T4:U4"/>
    <mergeCell ref="Q31:S31"/>
    <mergeCell ref="AI3:AK3"/>
    <mergeCell ref="AL3:AN3"/>
    <mergeCell ref="T3:U3"/>
    <mergeCell ref="AL16:AN16"/>
    <mergeCell ref="AL17:AN17"/>
    <mergeCell ref="AL18:AN18"/>
    <mergeCell ref="AL22:AN22"/>
    <mergeCell ref="AL23:AN23"/>
    <mergeCell ref="Y4:AB4"/>
    <mergeCell ref="AD4:AE4"/>
    <mergeCell ref="AI4:AK4"/>
    <mergeCell ref="AL4:AN4"/>
    <mergeCell ref="AL13:AN13"/>
    <mergeCell ref="AL14:AN14"/>
    <mergeCell ref="AL15:AN15"/>
    <mergeCell ref="AO4:AR4"/>
    <mergeCell ref="AL9:AN9"/>
    <mergeCell ref="AL10:AN10"/>
    <mergeCell ref="AL11:AN11"/>
    <mergeCell ref="AL12:AN12"/>
    <mergeCell ref="J32:K32"/>
    <mergeCell ref="J31:K31"/>
    <mergeCell ref="L32:M32"/>
    <mergeCell ref="AO31:AR31"/>
    <mergeCell ref="AI31:AK31"/>
    <mergeCell ref="Y31:AB31"/>
    <mergeCell ref="AL24:AN24"/>
    <mergeCell ref="D32:E32"/>
    <mergeCell ref="G31:H31"/>
    <mergeCell ref="D33:E33"/>
    <mergeCell ref="AL25:AN25"/>
    <mergeCell ref="AL26:AN26"/>
    <mergeCell ref="AL31:AN31"/>
    <mergeCell ref="C31:E31"/>
    <mergeCell ref="L31:M31"/>
    <mergeCell ref="N31:O31"/>
  </mergeCells>
  <printOptions/>
  <pageMargins left="0.35433070866141736" right="0.2362204724409449" top="1.1811023622047245" bottom="0.2755905511811024" header="0.5118110236220472" footer="0.1968503937007874"/>
  <pageSetup firstPageNumber="68" useFirstPageNumber="1" horizontalDpi="600" verticalDpi="600" orientation="portrait" paperSize="9" r:id="rId1"/>
  <headerFooter alignWithMargins="0">
    <oddHeader>&amp;C&amp;"Times New Roman,Bold"&amp;14 5.2 FINANCIAL RATIOS FOR PERSIONAL PENSION SCHEMES 2002</oddHeader>
    <oddFooter>&amp;R&amp;"Times New Roman,Regular"&amp;P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X4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0" sqref="G20"/>
    </sheetView>
  </sheetViews>
  <sheetFormatPr defaultColWidth="9.140625" defaultRowHeight="12.75"/>
  <cols>
    <col min="1" max="1" width="3.28125" style="45" customWidth="1"/>
    <col min="2" max="2" width="29.421875" style="45" customWidth="1"/>
    <col min="3" max="5" width="10.421875" style="33" customWidth="1"/>
    <col min="6" max="6" width="8.421875" style="33" customWidth="1"/>
    <col min="7" max="7" width="9.7109375" style="33" customWidth="1"/>
    <col min="8" max="8" width="10.421875" style="33" customWidth="1"/>
    <col min="9" max="9" width="9.8515625" style="33" customWidth="1"/>
    <col min="10" max="14" width="10.421875" style="33" customWidth="1"/>
    <col min="15" max="15" width="9.8515625" style="33" customWidth="1"/>
    <col min="16" max="16" width="9.28125" style="33" customWidth="1"/>
    <col min="17" max="17" width="10.421875" style="33" customWidth="1"/>
    <col min="18" max="18" width="8.57421875" style="33" customWidth="1"/>
    <col min="19" max="19" width="8.28125" style="33" customWidth="1"/>
    <col min="20" max="20" width="9.28125" style="33" customWidth="1"/>
    <col min="21" max="21" width="8.421875" style="33" customWidth="1"/>
    <col min="22" max="22" width="9.7109375" style="33" customWidth="1"/>
    <col min="23" max="24" width="10.421875" style="33" customWidth="1"/>
    <col min="25" max="25" width="9.57421875" style="33" customWidth="1"/>
    <col min="26" max="26" width="10.00390625" style="33" customWidth="1"/>
    <col min="27" max="27" width="8.8515625" style="33" customWidth="1"/>
    <col min="28" max="28" width="9.28125" style="33" customWidth="1"/>
    <col min="29" max="29" width="8.7109375" style="33" customWidth="1"/>
    <col min="30" max="30" width="8.8515625" style="33" customWidth="1"/>
    <col min="31" max="31" width="9.57421875" style="33" customWidth="1"/>
    <col min="32" max="36" width="10.421875" style="33" customWidth="1"/>
    <col min="37" max="37" width="9.7109375" style="33" customWidth="1"/>
    <col min="38" max="38" width="10.421875" style="33" customWidth="1"/>
    <col min="39" max="39" width="11.7109375" style="33" customWidth="1"/>
    <col min="40" max="40" width="11.28125" style="33" customWidth="1"/>
    <col min="41" max="41" width="10.421875" style="33" customWidth="1"/>
    <col min="42" max="42" width="9.8515625" style="33" customWidth="1"/>
    <col min="43" max="43" width="10.57421875" style="33" customWidth="1"/>
    <col min="44" max="44" width="10.8515625" style="33" customWidth="1"/>
    <col min="45" max="45" width="8.7109375" style="33" customWidth="1"/>
    <col min="46" max="46" width="8.140625" style="33" customWidth="1"/>
    <col min="47" max="47" width="8.421875" style="33" customWidth="1"/>
    <col min="48" max="48" width="8.57421875" style="33" customWidth="1"/>
    <col min="49" max="49" width="8.28125" style="33" customWidth="1"/>
    <col min="50" max="67" width="10.421875" style="33" customWidth="1"/>
    <col min="68" max="68" width="14.00390625" style="33" customWidth="1"/>
    <col min="69" max="70" width="10.421875" style="33" customWidth="1"/>
    <col min="71" max="72" width="9.8515625" style="33" customWidth="1"/>
    <col min="73" max="73" width="5.421875" style="33" customWidth="1"/>
    <col min="74" max="82" width="10.421875" style="33" customWidth="1"/>
    <col min="83" max="16384" width="9.140625" style="33" customWidth="1"/>
  </cols>
  <sheetData>
    <row r="1" spans="1:76" s="34" customFormat="1" ht="12.75" customHeight="1">
      <c r="A1" s="40"/>
      <c r="B1" s="40"/>
      <c r="C1" s="293" t="s">
        <v>60</v>
      </c>
      <c r="D1" s="293"/>
      <c r="E1" s="293"/>
      <c r="F1" s="293"/>
      <c r="G1" s="293"/>
      <c r="H1" s="115" t="s">
        <v>60</v>
      </c>
      <c r="I1" s="293" t="s">
        <v>60</v>
      </c>
      <c r="J1" s="293" t="s">
        <v>60</v>
      </c>
      <c r="K1" s="293" t="s">
        <v>60</v>
      </c>
      <c r="L1" s="293" t="s">
        <v>60</v>
      </c>
      <c r="M1" s="100" t="s">
        <v>61</v>
      </c>
      <c r="N1" s="100" t="s">
        <v>60</v>
      </c>
      <c r="O1" s="293" t="s">
        <v>62</v>
      </c>
      <c r="P1" s="293" t="s">
        <v>62</v>
      </c>
      <c r="Q1" s="100" t="s">
        <v>60</v>
      </c>
      <c r="R1" s="293" t="s">
        <v>64</v>
      </c>
      <c r="S1" s="293"/>
      <c r="T1" s="293"/>
      <c r="U1" s="293"/>
      <c r="V1" s="115" t="s">
        <v>60</v>
      </c>
      <c r="W1" s="100" t="s">
        <v>63</v>
      </c>
      <c r="X1" s="115" t="s">
        <v>60</v>
      </c>
      <c r="Y1" s="115" t="s">
        <v>60</v>
      </c>
      <c r="Z1" s="115" t="s">
        <v>60</v>
      </c>
      <c r="AA1" s="293" t="s">
        <v>65</v>
      </c>
      <c r="AB1" s="293"/>
      <c r="AC1" s="293"/>
      <c r="AD1" s="293"/>
      <c r="AE1" s="293"/>
      <c r="AF1" s="100" t="s">
        <v>60</v>
      </c>
      <c r="AG1" s="115" t="s">
        <v>60</v>
      </c>
      <c r="AH1" s="115" t="s">
        <v>60</v>
      </c>
      <c r="AI1" s="115" t="s">
        <v>60</v>
      </c>
      <c r="AJ1" s="115" t="s">
        <v>60</v>
      </c>
      <c r="AK1" s="115" t="s">
        <v>60</v>
      </c>
      <c r="AL1" s="115" t="s">
        <v>66</v>
      </c>
      <c r="AM1" s="115" t="s">
        <v>60</v>
      </c>
      <c r="AN1" s="115" t="s">
        <v>60</v>
      </c>
      <c r="AO1" s="100" t="s">
        <v>68</v>
      </c>
      <c r="AP1" s="115" t="s">
        <v>60</v>
      </c>
      <c r="AQ1" s="293" t="s">
        <v>60</v>
      </c>
      <c r="AR1" s="293"/>
      <c r="AS1" s="293" t="s">
        <v>70</v>
      </c>
      <c r="AT1" s="293"/>
      <c r="AU1" s="293"/>
      <c r="AV1" s="293"/>
      <c r="AW1" s="293"/>
      <c r="AX1" s="115" t="s">
        <v>60</v>
      </c>
      <c r="AY1" s="115" t="s">
        <v>69</v>
      </c>
      <c r="AZ1" s="115" t="s">
        <v>60</v>
      </c>
      <c r="BA1" s="115" t="s">
        <v>60</v>
      </c>
      <c r="BB1" s="115" t="s">
        <v>60</v>
      </c>
      <c r="BC1" s="115" t="s">
        <v>60</v>
      </c>
      <c r="BD1" s="100" t="s">
        <v>60</v>
      </c>
      <c r="BE1" s="115" t="s">
        <v>69</v>
      </c>
      <c r="BF1" s="115" t="s">
        <v>71</v>
      </c>
      <c r="BG1" s="115" t="s">
        <v>69</v>
      </c>
      <c r="BH1" s="115" t="s">
        <v>60</v>
      </c>
      <c r="BI1" s="100" t="s">
        <v>60</v>
      </c>
      <c r="BJ1" s="115" t="s">
        <v>60</v>
      </c>
      <c r="BK1" s="115" t="s">
        <v>69</v>
      </c>
      <c r="BL1" s="115" t="s">
        <v>69</v>
      </c>
      <c r="BM1" s="115" t="s">
        <v>69</v>
      </c>
      <c r="BN1" s="115" t="s">
        <v>60</v>
      </c>
      <c r="BO1" s="115" t="s">
        <v>67</v>
      </c>
      <c r="BP1" s="100" t="s">
        <v>60</v>
      </c>
      <c r="BQ1" s="100" t="s">
        <v>60</v>
      </c>
      <c r="BR1" s="100" t="s">
        <v>69</v>
      </c>
      <c r="BS1" s="100" t="s">
        <v>60</v>
      </c>
      <c r="BT1" s="100" t="s">
        <v>60</v>
      </c>
      <c r="BU1" s="100"/>
      <c r="BV1" s="100"/>
      <c r="BW1" s="88"/>
      <c r="BX1" s="88"/>
    </row>
    <row r="2" spans="1:76" s="34" customFormat="1" ht="12.75">
      <c r="A2" s="40"/>
      <c r="B2" s="40" t="s">
        <v>317</v>
      </c>
      <c r="C2" s="293" t="s">
        <v>74</v>
      </c>
      <c r="D2" s="293"/>
      <c r="E2" s="293"/>
      <c r="F2" s="293"/>
      <c r="G2" s="293"/>
      <c r="H2" s="115" t="s">
        <v>73</v>
      </c>
      <c r="I2" s="293" t="s">
        <v>75</v>
      </c>
      <c r="J2" s="293" t="s">
        <v>75</v>
      </c>
      <c r="K2" s="293" t="s">
        <v>77</v>
      </c>
      <c r="L2" s="293" t="s">
        <v>77</v>
      </c>
      <c r="M2" s="100" t="s">
        <v>76</v>
      </c>
      <c r="N2" s="100" t="s">
        <v>78</v>
      </c>
      <c r="O2" s="293" t="s">
        <v>76</v>
      </c>
      <c r="P2" s="293" t="s">
        <v>76</v>
      </c>
      <c r="Q2" s="100" t="s">
        <v>79</v>
      </c>
      <c r="R2" s="293" t="s">
        <v>76</v>
      </c>
      <c r="S2" s="293" t="s">
        <v>76</v>
      </c>
      <c r="T2" s="293" t="s">
        <v>76</v>
      </c>
      <c r="U2" s="293" t="s">
        <v>76</v>
      </c>
      <c r="V2" s="115" t="s">
        <v>80</v>
      </c>
      <c r="W2" s="100" t="s">
        <v>76</v>
      </c>
      <c r="X2" s="115" t="s">
        <v>81</v>
      </c>
      <c r="Y2" s="115" t="s">
        <v>83</v>
      </c>
      <c r="Z2" s="115" t="s">
        <v>82</v>
      </c>
      <c r="AA2" s="293" t="s">
        <v>88</v>
      </c>
      <c r="AB2" s="293" t="s">
        <v>88</v>
      </c>
      <c r="AC2" s="293" t="s">
        <v>88</v>
      </c>
      <c r="AD2" s="293" t="s">
        <v>88</v>
      </c>
      <c r="AE2" s="293" t="s">
        <v>88</v>
      </c>
      <c r="AF2" s="100" t="s">
        <v>86</v>
      </c>
      <c r="AG2" s="115" t="s">
        <v>85</v>
      </c>
      <c r="AH2" s="115" t="s">
        <v>84</v>
      </c>
      <c r="AI2" s="115" t="s">
        <v>87</v>
      </c>
      <c r="AJ2" s="115" t="s">
        <v>89</v>
      </c>
      <c r="AK2" s="115" t="s">
        <v>90</v>
      </c>
      <c r="AL2" s="115" t="s">
        <v>91</v>
      </c>
      <c r="AM2" s="115" t="s">
        <v>94</v>
      </c>
      <c r="AN2" s="115" t="s">
        <v>93</v>
      </c>
      <c r="AO2" s="100" t="s">
        <v>76</v>
      </c>
      <c r="AP2" s="115" t="s">
        <v>95</v>
      </c>
      <c r="AQ2" s="293" t="s">
        <v>93</v>
      </c>
      <c r="AR2" s="293" t="s">
        <v>93</v>
      </c>
      <c r="AS2" s="293" t="s">
        <v>76</v>
      </c>
      <c r="AT2" s="293" t="s">
        <v>76</v>
      </c>
      <c r="AU2" s="293" t="s">
        <v>76</v>
      </c>
      <c r="AV2" s="293" t="s">
        <v>76</v>
      </c>
      <c r="AW2" s="293" t="s">
        <v>76</v>
      </c>
      <c r="AX2" s="115" t="s">
        <v>93</v>
      </c>
      <c r="AY2" s="115" t="s">
        <v>93</v>
      </c>
      <c r="AZ2" s="115" t="s">
        <v>96</v>
      </c>
      <c r="BA2" s="115" t="s">
        <v>99</v>
      </c>
      <c r="BB2" s="115" t="s">
        <v>97</v>
      </c>
      <c r="BC2" s="115" t="s">
        <v>98</v>
      </c>
      <c r="BD2" s="100" t="s">
        <v>101</v>
      </c>
      <c r="BE2" s="115" t="s">
        <v>100</v>
      </c>
      <c r="BF2" s="115" t="s">
        <v>104</v>
      </c>
      <c r="BG2" s="115" t="s">
        <v>102</v>
      </c>
      <c r="BH2" s="115" t="s">
        <v>103</v>
      </c>
      <c r="BI2" s="100" t="s">
        <v>105</v>
      </c>
      <c r="BJ2" s="115" t="s">
        <v>106</v>
      </c>
      <c r="BK2" s="115" t="s">
        <v>108</v>
      </c>
      <c r="BL2" s="115" t="s">
        <v>107</v>
      </c>
      <c r="BM2" s="115" t="s">
        <v>109</v>
      </c>
      <c r="BN2" s="115" t="s">
        <v>93</v>
      </c>
      <c r="BO2" s="115" t="s">
        <v>92</v>
      </c>
      <c r="BP2" s="100" t="s">
        <v>278</v>
      </c>
      <c r="BQ2" s="100" t="s">
        <v>110</v>
      </c>
      <c r="BR2" s="100" t="s">
        <v>111</v>
      </c>
      <c r="BS2" s="100" t="s">
        <v>112</v>
      </c>
      <c r="BT2" s="100" t="s">
        <v>113</v>
      </c>
      <c r="BU2" s="100"/>
      <c r="BV2" s="100"/>
      <c r="BW2" s="88"/>
      <c r="BX2" s="88"/>
    </row>
    <row r="3" spans="1:76" s="34" customFormat="1" ht="14.25">
      <c r="A3" s="270"/>
      <c r="B3" s="40"/>
      <c r="C3" s="116" t="s">
        <v>55</v>
      </c>
      <c r="D3" s="116" t="s">
        <v>55</v>
      </c>
      <c r="E3" s="116" t="s">
        <v>55</v>
      </c>
      <c r="F3" s="116" t="s">
        <v>55</v>
      </c>
      <c r="G3" s="116" t="s">
        <v>55</v>
      </c>
      <c r="H3" s="100" t="s">
        <v>114</v>
      </c>
      <c r="I3" s="293"/>
      <c r="J3" s="293"/>
      <c r="K3" s="293"/>
      <c r="L3" s="293"/>
      <c r="M3" s="100" t="s">
        <v>92</v>
      </c>
      <c r="N3" s="100" t="s">
        <v>118</v>
      </c>
      <c r="O3" s="293" t="s">
        <v>119</v>
      </c>
      <c r="P3" s="293" t="s">
        <v>119</v>
      </c>
      <c r="Q3" s="100" t="s">
        <v>120</v>
      </c>
      <c r="R3" s="293" t="s">
        <v>92</v>
      </c>
      <c r="S3" s="293" t="s">
        <v>92</v>
      </c>
      <c r="T3" s="293" t="s">
        <v>92</v>
      </c>
      <c r="U3" s="293" t="s">
        <v>92</v>
      </c>
      <c r="V3" s="116"/>
      <c r="W3" s="100" t="s">
        <v>92</v>
      </c>
      <c r="X3" s="115" t="s">
        <v>118</v>
      </c>
      <c r="Y3" s="115" t="s">
        <v>55</v>
      </c>
      <c r="Z3" s="115" t="s">
        <v>121</v>
      </c>
      <c r="AA3" s="293" t="s">
        <v>125</v>
      </c>
      <c r="AB3" s="293" t="s">
        <v>125</v>
      </c>
      <c r="AC3" s="293" t="s">
        <v>125</v>
      </c>
      <c r="AD3" s="293" t="s">
        <v>125</v>
      </c>
      <c r="AE3" s="293" t="s">
        <v>125</v>
      </c>
      <c r="AF3" s="100" t="s">
        <v>123</v>
      </c>
      <c r="AG3" s="115" t="s">
        <v>122</v>
      </c>
      <c r="AH3" s="115" t="s">
        <v>55</v>
      </c>
      <c r="AI3" s="115" t="s">
        <v>124</v>
      </c>
      <c r="AJ3" s="115" t="s">
        <v>126</v>
      </c>
      <c r="AK3" s="115" t="s">
        <v>118</v>
      </c>
      <c r="AL3" s="115" t="s">
        <v>127</v>
      </c>
      <c r="AM3" s="115" t="s">
        <v>129</v>
      </c>
      <c r="AN3" s="115" t="s">
        <v>128</v>
      </c>
      <c r="AO3" s="100" t="s">
        <v>130</v>
      </c>
      <c r="AP3" s="115"/>
      <c r="AQ3" s="293" t="s">
        <v>136</v>
      </c>
      <c r="AR3" s="293" t="s">
        <v>136</v>
      </c>
      <c r="AS3" s="293" t="s">
        <v>92</v>
      </c>
      <c r="AT3" s="293" t="s">
        <v>92</v>
      </c>
      <c r="AU3" s="293" t="s">
        <v>92</v>
      </c>
      <c r="AV3" s="293" t="s">
        <v>92</v>
      </c>
      <c r="AW3" s="293" t="s">
        <v>92</v>
      </c>
      <c r="AX3" s="115" t="s">
        <v>131</v>
      </c>
      <c r="AY3" s="115" t="s">
        <v>133</v>
      </c>
      <c r="AZ3" s="115" t="s">
        <v>132</v>
      </c>
      <c r="BA3" s="115"/>
      <c r="BB3" s="115" t="s">
        <v>134</v>
      </c>
      <c r="BC3" s="115" t="s">
        <v>135</v>
      </c>
      <c r="BD3" s="100" t="s">
        <v>250</v>
      </c>
      <c r="BE3" s="115" t="s">
        <v>137</v>
      </c>
      <c r="BF3" s="115" t="s">
        <v>134</v>
      </c>
      <c r="BG3" s="115" t="s">
        <v>138</v>
      </c>
      <c r="BH3" s="115" t="s">
        <v>139</v>
      </c>
      <c r="BI3" s="100" t="s">
        <v>141</v>
      </c>
      <c r="BJ3" s="115" t="s">
        <v>142</v>
      </c>
      <c r="BK3" s="115" t="s">
        <v>143</v>
      </c>
      <c r="BL3" s="115" t="s">
        <v>95</v>
      </c>
      <c r="BM3" s="115" t="s">
        <v>144</v>
      </c>
      <c r="BN3" s="115" t="s">
        <v>145</v>
      </c>
      <c r="BO3" s="115" t="s">
        <v>146</v>
      </c>
      <c r="BP3" s="100" t="s">
        <v>277</v>
      </c>
      <c r="BQ3" s="100" t="s">
        <v>147</v>
      </c>
      <c r="BR3" s="100" t="s">
        <v>148</v>
      </c>
      <c r="BS3" s="100" t="s">
        <v>149</v>
      </c>
      <c r="BT3" s="100" t="s">
        <v>150</v>
      </c>
      <c r="BU3" s="100"/>
      <c r="BV3" s="272" t="s">
        <v>492</v>
      </c>
      <c r="BW3" s="88"/>
      <c r="BX3" s="88"/>
    </row>
    <row r="4" spans="1:76" s="87" customFormat="1" ht="12.75">
      <c r="A4" s="271"/>
      <c r="B4" s="270"/>
      <c r="C4" s="284" t="s">
        <v>233</v>
      </c>
      <c r="D4" s="284"/>
      <c r="E4" s="284"/>
      <c r="F4" s="284"/>
      <c r="G4" s="284"/>
      <c r="H4" s="104" t="s">
        <v>151</v>
      </c>
      <c r="I4" s="293" t="s">
        <v>156</v>
      </c>
      <c r="J4" s="293" t="s">
        <v>156</v>
      </c>
      <c r="K4" s="293" t="s">
        <v>157</v>
      </c>
      <c r="L4" s="293" t="s">
        <v>157</v>
      </c>
      <c r="M4" s="104" t="s">
        <v>160</v>
      </c>
      <c r="N4" s="104" t="s">
        <v>161</v>
      </c>
      <c r="O4" s="293" t="s">
        <v>162</v>
      </c>
      <c r="P4" s="293" t="s">
        <v>162</v>
      </c>
      <c r="Q4" s="104" t="s">
        <v>163</v>
      </c>
      <c r="R4" s="293" t="s">
        <v>164</v>
      </c>
      <c r="S4" s="293" t="s">
        <v>164</v>
      </c>
      <c r="T4" s="293" t="s">
        <v>164</v>
      </c>
      <c r="U4" s="293" t="s">
        <v>164</v>
      </c>
      <c r="V4" s="104" t="s">
        <v>165</v>
      </c>
      <c r="W4" s="104" t="s">
        <v>166</v>
      </c>
      <c r="X4" s="104" t="s">
        <v>167</v>
      </c>
      <c r="Y4" s="104" t="s">
        <v>168</v>
      </c>
      <c r="Z4" s="104" t="s">
        <v>169</v>
      </c>
      <c r="AA4" s="293" t="s">
        <v>170</v>
      </c>
      <c r="AB4" s="293" t="s">
        <v>170</v>
      </c>
      <c r="AC4" s="293" t="s">
        <v>170</v>
      </c>
      <c r="AD4" s="293" t="s">
        <v>170</v>
      </c>
      <c r="AE4" s="293" t="s">
        <v>170</v>
      </c>
      <c r="AF4" s="104" t="s">
        <v>171</v>
      </c>
      <c r="AG4" s="104" t="s">
        <v>172</v>
      </c>
      <c r="AH4" s="104" t="s">
        <v>173</v>
      </c>
      <c r="AI4" s="104" t="s">
        <v>174</v>
      </c>
      <c r="AJ4" s="104" t="s">
        <v>175</v>
      </c>
      <c r="AK4" s="104" t="s">
        <v>176</v>
      </c>
      <c r="AL4" s="104" t="s">
        <v>177</v>
      </c>
      <c r="AM4" s="104" t="s">
        <v>178</v>
      </c>
      <c r="AN4" s="104" t="s">
        <v>179</v>
      </c>
      <c r="AO4" s="104" t="s">
        <v>180</v>
      </c>
      <c r="AP4" s="104" t="s">
        <v>181</v>
      </c>
      <c r="AQ4" s="293" t="s">
        <v>183</v>
      </c>
      <c r="AR4" s="293" t="s">
        <v>183</v>
      </c>
      <c r="AS4" s="293" t="s">
        <v>184</v>
      </c>
      <c r="AT4" s="293" t="s">
        <v>184</v>
      </c>
      <c r="AU4" s="293" t="s">
        <v>184</v>
      </c>
      <c r="AV4" s="293" t="s">
        <v>184</v>
      </c>
      <c r="AW4" s="293" t="s">
        <v>184</v>
      </c>
      <c r="AX4" s="104" t="s">
        <v>185</v>
      </c>
      <c r="AY4" s="104" t="s">
        <v>186</v>
      </c>
      <c r="AZ4" s="104" t="s">
        <v>187</v>
      </c>
      <c r="BA4" s="104" t="s">
        <v>187</v>
      </c>
      <c r="BB4" s="104" t="s">
        <v>190</v>
      </c>
      <c r="BC4" s="104" t="s">
        <v>191</v>
      </c>
      <c r="BD4" s="104" t="s">
        <v>192</v>
      </c>
      <c r="BE4" s="104" t="s">
        <v>193</v>
      </c>
      <c r="BF4" s="104" t="s">
        <v>194</v>
      </c>
      <c r="BG4" s="104" t="s">
        <v>196</v>
      </c>
      <c r="BH4" s="104" t="s">
        <v>197</v>
      </c>
      <c r="BI4" s="104" t="s">
        <v>198</v>
      </c>
      <c r="BJ4" s="104" t="s">
        <v>199</v>
      </c>
      <c r="BK4" s="104" t="s">
        <v>200</v>
      </c>
      <c r="BL4" s="104" t="s">
        <v>201</v>
      </c>
      <c r="BM4" s="104" t="s">
        <v>202</v>
      </c>
      <c r="BN4" s="104" t="s">
        <v>203</v>
      </c>
      <c r="BO4" s="104" t="s">
        <v>204</v>
      </c>
      <c r="BP4" s="104" t="s">
        <v>205</v>
      </c>
      <c r="BQ4" s="104" t="s">
        <v>206</v>
      </c>
      <c r="BR4" s="104" t="s">
        <v>207</v>
      </c>
      <c r="BS4" s="104" t="s">
        <v>208</v>
      </c>
      <c r="BT4" s="104" t="s">
        <v>209</v>
      </c>
      <c r="BU4" s="104"/>
      <c r="BV4" s="104"/>
      <c r="BW4" s="88"/>
      <c r="BX4" s="88"/>
    </row>
    <row r="5" spans="1:76" s="34" customFormat="1" ht="12.75">
      <c r="A5" s="40"/>
      <c r="B5" s="271"/>
      <c r="C5" s="47" t="s">
        <v>153</v>
      </c>
      <c r="D5" s="47" t="s">
        <v>152</v>
      </c>
      <c r="E5" s="47" t="s">
        <v>116</v>
      </c>
      <c r="F5" s="47" t="s">
        <v>117</v>
      </c>
      <c r="G5" s="47" t="s">
        <v>280</v>
      </c>
      <c r="H5" s="47"/>
      <c r="I5" s="47" t="s">
        <v>72</v>
      </c>
      <c r="J5" s="47" t="s">
        <v>280</v>
      </c>
      <c r="K5" s="47" t="s">
        <v>72</v>
      </c>
      <c r="L5" s="47" t="s">
        <v>280</v>
      </c>
      <c r="M5" s="47"/>
      <c r="N5" s="47"/>
      <c r="O5" s="47" t="s">
        <v>72</v>
      </c>
      <c r="P5" s="47" t="s">
        <v>70</v>
      </c>
      <c r="Q5" s="47"/>
      <c r="R5" s="47" t="s">
        <v>72</v>
      </c>
      <c r="S5" s="47" t="s">
        <v>265</v>
      </c>
      <c r="T5" s="47" t="s">
        <v>266</v>
      </c>
      <c r="U5" s="47" t="s">
        <v>267</v>
      </c>
      <c r="V5" s="47"/>
      <c r="W5" s="47"/>
      <c r="X5" s="47"/>
      <c r="Y5" s="47"/>
      <c r="Z5" s="47"/>
      <c r="AA5" s="47" t="s">
        <v>72</v>
      </c>
      <c r="AB5" s="47" t="s">
        <v>230</v>
      </c>
      <c r="AC5" s="47" t="s">
        <v>231</v>
      </c>
      <c r="AD5" s="47" t="s">
        <v>232</v>
      </c>
      <c r="AE5" s="47" t="s">
        <v>268</v>
      </c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 t="s">
        <v>281</v>
      </c>
      <c r="AR5" s="47" t="s">
        <v>280</v>
      </c>
      <c r="AS5" s="47" t="s">
        <v>72</v>
      </c>
      <c r="AT5" s="47" t="s">
        <v>215</v>
      </c>
      <c r="AU5" s="47" t="s">
        <v>216</v>
      </c>
      <c r="AV5" s="47" t="s">
        <v>217</v>
      </c>
      <c r="AW5" s="47" t="s">
        <v>70</v>
      </c>
      <c r="AX5" s="47"/>
      <c r="AY5" s="47"/>
      <c r="AZ5" s="47"/>
      <c r="BA5" s="47"/>
      <c r="BB5" s="47"/>
      <c r="BC5" s="47"/>
      <c r="BD5" s="29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71"/>
      <c r="BX5" s="71"/>
    </row>
    <row r="6" spans="3:76" s="43" customFormat="1" ht="12.75">
      <c r="C6" s="35"/>
      <c r="D6" s="35"/>
      <c r="E6" s="47" t="s">
        <v>154</v>
      </c>
      <c r="F6" s="47" t="s">
        <v>155</v>
      </c>
      <c r="G6" s="47" t="s">
        <v>155</v>
      </c>
      <c r="H6" s="47"/>
      <c r="I6" s="47" t="s">
        <v>155</v>
      </c>
      <c r="J6" s="47" t="s">
        <v>155</v>
      </c>
      <c r="K6" s="47" t="s">
        <v>155</v>
      </c>
      <c r="L6" s="47" t="s">
        <v>155</v>
      </c>
      <c r="M6" s="47"/>
      <c r="N6" s="47"/>
      <c r="O6" s="47" t="s">
        <v>155</v>
      </c>
      <c r="P6" s="47" t="s">
        <v>155</v>
      </c>
      <c r="Q6" s="47"/>
      <c r="R6" s="47" t="s">
        <v>155</v>
      </c>
      <c r="S6" s="47"/>
      <c r="T6" s="47"/>
      <c r="U6" s="47"/>
      <c r="V6" s="47"/>
      <c r="W6" s="47"/>
      <c r="X6" s="47"/>
      <c r="Y6" s="47"/>
      <c r="Z6" s="47"/>
      <c r="AA6" s="47" t="s">
        <v>155</v>
      </c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 t="s">
        <v>155</v>
      </c>
      <c r="AS6" s="47" t="s">
        <v>155</v>
      </c>
      <c r="AT6" s="47"/>
      <c r="AU6" s="47"/>
      <c r="AV6" s="47"/>
      <c r="AW6" s="47" t="s">
        <v>294</v>
      </c>
      <c r="AX6" s="47"/>
      <c r="AY6" s="47"/>
      <c r="AZ6" s="47"/>
      <c r="BA6" s="47"/>
      <c r="BB6" s="47"/>
      <c r="BC6" s="47"/>
      <c r="BD6" s="46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2"/>
      <c r="BX6" s="42"/>
    </row>
    <row r="7" spans="1:76" s="137" customFormat="1" ht="29.25" customHeight="1">
      <c r="A7" s="41" t="s">
        <v>487</v>
      </c>
      <c r="B7" s="40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W7" s="41"/>
      <c r="BX7" s="40"/>
    </row>
    <row r="8" spans="1:76" s="1" customFormat="1" ht="12.75">
      <c r="A8" s="40"/>
      <c r="B8" s="40" t="s">
        <v>488</v>
      </c>
      <c r="C8" s="139">
        <v>5301.8</v>
      </c>
      <c r="D8" s="139">
        <v>38581.7</v>
      </c>
      <c r="E8" s="139">
        <v>0</v>
      </c>
      <c r="F8" s="139">
        <v>0</v>
      </c>
      <c r="G8" s="139">
        <v>403.3</v>
      </c>
      <c r="H8" s="139">
        <v>30620</v>
      </c>
      <c r="I8" s="139">
        <v>17574</v>
      </c>
      <c r="J8" s="139">
        <v>179</v>
      </c>
      <c r="K8" s="139">
        <v>20896</v>
      </c>
      <c r="L8" s="139">
        <v>32.8</v>
      </c>
      <c r="M8" s="139">
        <v>18803</v>
      </c>
      <c r="N8" s="139">
        <v>12093</v>
      </c>
      <c r="O8" s="139">
        <v>13386</v>
      </c>
      <c r="P8" s="139">
        <v>35</v>
      </c>
      <c r="Q8" s="139">
        <v>7829</v>
      </c>
      <c r="R8" s="139">
        <v>863.9</v>
      </c>
      <c r="S8" s="139">
        <v>6040.2</v>
      </c>
      <c r="T8" s="139">
        <v>404.5</v>
      </c>
      <c r="U8" s="139">
        <v>0</v>
      </c>
      <c r="V8" s="139">
        <v>6484</v>
      </c>
      <c r="W8" s="139">
        <v>3699</v>
      </c>
      <c r="X8" s="139">
        <v>3135.14</v>
      </c>
      <c r="Y8" s="139">
        <v>4439</v>
      </c>
      <c r="Z8" s="139">
        <v>3890</v>
      </c>
      <c r="AA8" s="139">
        <v>501</v>
      </c>
      <c r="AB8" s="139">
        <v>575</v>
      </c>
      <c r="AC8" s="139">
        <v>2356</v>
      </c>
      <c r="AD8" s="139">
        <v>160</v>
      </c>
      <c r="AE8" s="139">
        <v>0</v>
      </c>
      <c r="AF8" s="139">
        <v>2365</v>
      </c>
      <c r="AG8" s="139">
        <v>4018</v>
      </c>
      <c r="AH8" s="139">
        <v>4087</v>
      </c>
      <c r="AI8" s="139">
        <v>3774</v>
      </c>
      <c r="AJ8" s="139">
        <v>3728.5</v>
      </c>
      <c r="AK8" s="139">
        <v>3274</v>
      </c>
      <c r="AL8" s="139">
        <v>3034</v>
      </c>
      <c r="AM8" s="139">
        <v>1674</v>
      </c>
      <c r="AN8" s="139">
        <v>2356</v>
      </c>
      <c r="AO8" s="139">
        <v>2431</v>
      </c>
      <c r="AP8" s="139">
        <v>1642</v>
      </c>
      <c r="AQ8" s="139">
        <v>1854.8</v>
      </c>
      <c r="AR8" s="139">
        <v>119.7</v>
      </c>
      <c r="AS8" s="139">
        <v>102</v>
      </c>
      <c r="AT8" s="139">
        <v>161</v>
      </c>
      <c r="AU8" s="139">
        <v>579</v>
      </c>
      <c r="AV8" s="139">
        <v>262</v>
      </c>
      <c r="AW8" s="139">
        <v>0</v>
      </c>
      <c r="AX8" s="139">
        <v>730</v>
      </c>
      <c r="AY8" s="139">
        <v>1779</v>
      </c>
      <c r="AZ8" s="139">
        <v>1168</v>
      </c>
      <c r="BA8" s="139">
        <v>28</v>
      </c>
      <c r="BB8" s="139">
        <v>1387</v>
      </c>
      <c r="BC8" s="139">
        <v>365.9</v>
      </c>
      <c r="BD8" s="139">
        <v>278</v>
      </c>
      <c r="BE8" s="139">
        <v>516.3</v>
      </c>
      <c r="BF8" s="139">
        <v>555</v>
      </c>
      <c r="BG8" s="139">
        <v>323</v>
      </c>
      <c r="BH8" s="139">
        <v>628</v>
      </c>
      <c r="BI8" s="139">
        <v>361</v>
      </c>
      <c r="BJ8" s="139">
        <v>236</v>
      </c>
      <c r="BK8" s="139">
        <v>367</v>
      </c>
      <c r="BL8" s="139">
        <v>32.6</v>
      </c>
      <c r="BM8" s="139">
        <v>117.5</v>
      </c>
      <c r="BN8" s="139">
        <v>273</v>
      </c>
      <c r="BO8" s="139">
        <v>96.7</v>
      </c>
      <c r="BP8" s="139">
        <v>81</v>
      </c>
      <c r="BQ8" s="139">
        <v>79.3</v>
      </c>
      <c r="BR8" s="139">
        <v>19</v>
      </c>
      <c r="BS8" s="139">
        <v>4</v>
      </c>
      <c r="BT8" s="89"/>
      <c r="BV8" s="89">
        <f>SUM(C8:BU8)</f>
        <v>243169.64</v>
      </c>
      <c r="BW8" s="40"/>
      <c r="BX8" s="40"/>
    </row>
    <row r="9" spans="1:76" s="1" customFormat="1" ht="12.75">
      <c r="A9" s="40"/>
      <c r="B9" s="40" t="s">
        <v>489</v>
      </c>
      <c r="C9" s="139">
        <v>328.8</v>
      </c>
      <c r="D9" s="139">
        <v>1209.7</v>
      </c>
      <c r="E9" s="139">
        <v>0</v>
      </c>
      <c r="F9" s="139">
        <v>0</v>
      </c>
      <c r="G9" s="139">
        <v>2.32</v>
      </c>
      <c r="H9" s="139">
        <v>260</v>
      </c>
      <c r="I9" s="139">
        <v>942</v>
      </c>
      <c r="J9" s="139">
        <v>0</v>
      </c>
      <c r="K9" s="139">
        <v>432</v>
      </c>
      <c r="L9" s="139">
        <v>0.1</v>
      </c>
      <c r="M9" s="139">
        <v>660</v>
      </c>
      <c r="N9" s="139">
        <v>201.6</v>
      </c>
      <c r="O9" s="139">
        <v>528</v>
      </c>
      <c r="P9" s="139">
        <v>0</v>
      </c>
      <c r="Q9" s="139">
        <v>43</v>
      </c>
      <c r="R9" s="139">
        <v>3</v>
      </c>
      <c r="S9" s="139">
        <v>95.6</v>
      </c>
      <c r="T9" s="139">
        <v>2</v>
      </c>
      <c r="U9" s="139">
        <v>0</v>
      </c>
      <c r="V9" s="139">
        <v>166</v>
      </c>
      <c r="W9" s="139">
        <v>98</v>
      </c>
      <c r="X9" s="139">
        <v>29.6</v>
      </c>
      <c r="Y9" s="139">
        <v>84</v>
      </c>
      <c r="Z9" s="139">
        <v>308</v>
      </c>
      <c r="AA9" s="139">
        <v>11</v>
      </c>
      <c r="AB9" s="139">
        <v>15</v>
      </c>
      <c r="AC9" s="139">
        <v>48</v>
      </c>
      <c r="AD9" s="139">
        <v>6</v>
      </c>
      <c r="AE9" s="139">
        <v>0</v>
      </c>
      <c r="AF9" s="139">
        <v>75</v>
      </c>
      <c r="AG9" s="139">
        <v>27</v>
      </c>
      <c r="AH9" s="139">
        <v>479</v>
      </c>
      <c r="AI9" s="139">
        <v>135.5</v>
      </c>
      <c r="AJ9" s="139">
        <v>242.2</v>
      </c>
      <c r="AK9" s="139">
        <v>156</v>
      </c>
      <c r="AL9" s="139">
        <v>72</v>
      </c>
      <c r="AM9" s="139">
        <v>35</v>
      </c>
      <c r="AN9" s="139">
        <v>59</v>
      </c>
      <c r="AO9" s="139">
        <v>34</v>
      </c>
      <c r="AP9" s="139">
        <v>59</v>
      </c>
      <c r="AQ9" s="139">
        <v>18</v>
      </c>
      <c r="AR9" s="139">
        <v>0</v>
      </c>
      <c r="AS9" s="139">
        <v>0</v>
      </c>
      <c r="AT9" s="139">
        <v>0</v>
      </c>
      <c r="AU9" s="139">
        <v>0</v>
      </c>
      <c r="AV9" s="139">
        <v>0</v>
      </c>
      <c r="AW9" s="139">
        <v>0</v>
      </c>
      <c r="AX9" s="139">
        <v>0.5</v>
      </c>
      <c r="AY9" s="139">
        <v>30</v>
      </c>
      <c r="AZ9" s="139">
        <v>9</v>
      </c>
      <c r="BA9" s="139">
        <v>0</v>
      </c>
      <c r="BB9" s="139">
        <v>28</v>
      </c>
      <c r="BC9" s="139">
        <v>0</v>
      </c>
      <c r="BD9" s="139">
        <v>0</v>
      </c>
      <c r="BE9" s="139">
        <v>0</v>
      </c>
      <c r="BF9" s="139">
        <v>11</v>
      </c>
      <c r="BG9" s="139">
        <v>24</v>
      </c>
      <c r="BH9" s="139">
        <v>6</v>
      </c>
      <c r="BI9" s="139">
        <v>18.8</v>
      </c>
      <c r="BJ9" s="139">
        <v>2</v>
      </c>
      <c r="BK9" s="139">
        <v>2</v>
      </c>
      <c r="BL9" s="139">
        <v>0</v>
      </c>
      <c r="BM9" s="139">
        <v>0</v>
      </c>
      <c r="BN9" s="139">
        <v>5</v>
      </c>
      <c r="BO9" s="139">
        <v>33.6</v>
      </c>
      <c r="BP9" s="139">
        <v>0.9000000000000057</v>
      </c>
      <c r="BQ9" s="139">
        <v>1.4</v>
      </c>
      <c r="BR9" s="139">
        <v>0</v>
      </c>
      <c r="BS9" s="139">
        <v>0</v>
      </c>
      <c r="BT9" s="89"/>
      <c r="BV9" s="89">
        <f>SUM(C9:BU9)</f>
        <v>7037.62</v>
      </c>
      <c r="BW9" s="40"/>
      <c r="BX9" s="40"/>
    </row>
    <row r="10" spans="1:76" s="1" customFormat="1" ht="12.75">
      <c r="A10" s="40"/>
      <c r="B10" s="40" t="s">
        <v>490</v>
      </c>
      <c r="C10" s="139">
        <v>2153.1</v>
      </c>
      <c r="D10" s="139">
        <v>6635.9</v>
      </c>
      <c r="E10" s="139">
        <v>0</v>
      </c>
      <c r="F10" s="139">
        <v>0</v>
      </c>
      <c r="G10" s="139">
        <v>107.61</v>
      </c>
      <c r="H10" s="139">
        <v>5830</v>
      </c>
      <c r="I10" s="139">
        <v>2480</v>
      </c>
      <c r="J10" s="139">
        <v>0</v>
      </c>
      <c r="K10" s="139">
        <v>2787</v>
      </c>
      <c r="L10" s="139">
        <v>1.9</v>
      </c>
      <c r="M10" s="139">
        <v>3082</v>
      </c>
      <c r="N10" s="139">
        <v>1610.3</v>
      </c>
      <c r="O10" s="139">
        <v>2487</v>
      </c>
      <c r="P10" s="139">
        <v>5</v>
      </c>
      <c r="Q10" s="139">
        <v>1586</v>
      </c>
      <c r="R10" s="139">
        <v>71.4</v>
      </c>
      <c r="S10" s="139">
        <v>1100.9</v>
      </c>
      <c r="T10" s="139">
        <v>29.3</v>
      </c>
      <c r="U10" s="139">
        <v>0</v>
      </c>
      <c r="V10" s="139">
        <v>385</v>
      </c>
      <c r="W10" s="139">
        <v>2198</v>
      </c>
      <c r="X10" s="139">
        <v>750.58</v>
      </c>
      <c r="Y10" s="139">
        <v>730</v>
      </c>
      <c r="Z10" s="139">
        <v>1221</v>
      </c>
      <c r="AA10" s="139">
        <v>352</v>
      </c>
      <c r="AB10" s="139">
        <v>631</v>
      </c>
      <c r="AC10" s="139">
        <v>1375</v>
      </c>
      <c r="AD10" s="139">
        <v>198</v>
      </c>
      <c r="AE10" s="139">
        <v>0</v>
      </c>
      <c r="AF10" s="139">
        <v>1284</v>
      </c>
      <c r="AG10" s="139">
        <v>2192</v>
      </c>
      <c r="AH10" s="139">
        <v>1647</v>
      </c>
      <c r="AI10" s="139">
        <v>1224</v>
      </c>
      <c r="AJ10" s="139">
        <v>909.4</v>
      </c>
      <c r="AK10" s="139">
        <v>871</v>
      </c>
      <c r="AL10" s="139">
        <v>781</v>
      </c>
      <c r="AM10" s="139">
        <v>807</v>
      </c>
      <c r="AN10" s="139">
        <v>516</v>
      </c>
      <c r="AO10" s="139">
        <v>1066</v>
      </c>
      <c r="AP10" s="139">
        <v>658</v>
      </c>
      <c r="AQ10" s="139">
        <v>414.1</v>
      </c>
      <c r="AR10" s="139">
        <v>5.5</v>
      </c>
      <c r="AS10" s="139">
        <v>28</v>
      </c>
      <c r="AT10" s="139">
        <v>58</v>
      </c>
      <c r="AU10" s="139">
        <v>194</v>
      </c>
      <c r="AV10" s="139">
        <v>88</v>
      </c>
      <c r="AW10" s="139">
        <v>0</v>
      </c>
      <c r="AX10" s="139">
        <v>20.3</v>
      </c>
      <c r="AY10" s="139">
        <v>378</v>
      </c>
      <c r="AZ10" s="139">
        <v>122</v>
      </c>
      <c r="BA10" s="139">
        <v>11.900000000000091</v>
      </c>
      <c r="BB10" s="139">
        <v>239</v>
      </c>
      <c r="BC10" s="139">
        <v>187.1</v>
      </c>
      <c r="BD10" s="139">
        <v>131</v>
      </c>
      <c r="BE10" s="139">
        <v>86</v>
      </c>
      <c r="BF10" s="139">
        <v>254</v>
      </c>
      <c r="BG10" s="139">
        <v>104</v>
      </c>
      <c r="BH10" s="139">
        <v>195</v>
      </c>
      <c r="BI10" s="139">
        <v>76.5</v>
      </c>
      <c r="BJ10" s="139">
        <v>37</v>
      </c>
      <c r="BK10" s="139">
        <v>116</v>
      </c>
      <c r="BL10" s="139">
        <v>48.1</v>
      </c>
      <c r="BM10" s="139">
        <v>10.4</v>
      </c>
      <c r="BN10" s="139">
        <v>83</v>
      </c>
      <c r="BO10" s="139">
        <v>227</v>
      </c>
      <c r="BP10" s="139">
        <v>43.2</v>
      </c>
      <c r="BQ10" s="139">
        <v>17</v>
      </c>
      <c r="BR10" s="139">
        <v>0</v>
      </c>
      <c r="BS10" s="139">
        <v>0</v>
      </c>
      <c r="BT10" s="89"/>
      <c r="BV10" s="89">
        <f>SUM(C10:BU10)</f>
        <v>52937.490000000005</v>
      </c>
      <c r="BW10" s="40"/>
      <c r="BX10" s="40"/>
    </row>
    <row r="11" spans="1:76" s="1" customFormat="1" ht="12.75">
      <c r="A11" s="40"/>
      <c r="B11" s="40" t="s">
        <v>491</v>
      </c>
      <c r="C11" s="139">
        <v>1145.8</v>
      </c>
      <c r="D11" s="139">
        <v>2192.5</v>
      </c>
      <c r="E11" s="139">
        <v>0</v>
      </c>
      <c r="F11" s="139">
        <v>0</v>
      </c>
      <c r="G11" s="139">
        <v>61.7</v>
      </c>
      <c r="H11" s="139">
        <v>2748</v>
      </c>
      <c r="I11" s="139">
        <v>2798</v>
      </c>
      <c r="J11" s="139">
        <v>6</v>
      </c>
      <c r="K11" s="139">
        <v>2106</v>
      </c>
      <c r="L11" s="139">
        <v>0.6</v>
      </c>
      <c r="M11" s="139">
        <v>1575</v>
      </c>
      <c r="N11" s="139">
        <v>983.9</v>
      </c>
      <c r="O11" s="139">
        <v>905</v>
      </c>
      <c r="P11" s="139">
        <v>0</v>
      </c>
      <c r="Q11" s="139">
        <v>899</v>
      </c>
      <c r="R11" s="139">
        <v>15.4</v>
      </c>
      <c r="S11" s="139">
        <v>277.3</v>
      </c>
      <c r="T11" s="139">
        <v>8.3</v>
      </c>
      <c r="U11" s="139">
        <v>0</v>
      </c>
      <c r="V11" s="139">
        <v>535</v>
      </c>
      <c r="W11" s="139">
        <v>1620</v>
      </c>
      <c r="X11" s="139">
        <v>1496.34</v>
      </c>
      <c r="Y11" s="139">
        <v>535</v>
      </c>
      <c r="Z11" s="139">
        <v>1096</v>
      </c>
      <c r="AA11" s="139">
        <v>126</v>
      </c>
      <c r="AB11" s="139">
        <v>170</v>
      </c>
      <c r="AC11" s="139">
        <v>552</v>
      </c>
      <c r="AD11" s="139">
        <v>76</v>
      </c>
      <c r="AE11" s="139">
        <v>0</v>
      </c>
      <c r="AF11" s="139">
        <v>1294</v>
      </c>
      <c r="AG11" s="139">
        <v>246</v>
      </c>
      <c r="AH11" s="139">
        <v>478</v>
      </c>
      <c r="AI11" s="139">
        <v>641.3</v>
      </c>
      <c r="AJ11" s="139">
        <v>363.7</v>
      </c>
      <c r="AK11" s="139">
        <v>732</v>
      </c>
      <c r="AL11" s="139">
        <v>413</v>
      </c>
      <c r="AM11" s="139">
        <v>369</v>
      </c>
      <c r="AN11" s="139">
        <v>310</v>
      </c>
      <c r="AO11" s="139">
        <v>420</v>
      </c>
      <c r="AP11" s="139">
        <v>274</v>
      </c>
      <c r="AQ11" s="139">
        <v>287</v>
      </c>
      <c r="AR11" s="139">
        <v>1.4</v>
      </c>
      <c r="AS11" s="139">
        <v>21</v>
      </c>
      <c r="AT11" s="139">
        <v>49</v>
      </c>
      <c r="AU11" s="139">
        <v>179</v>
      </c>
      <c r="AV11" s="139">
        <v>75</v>
      </c>
      <c r="AW11" s="139">
        <v>0</v>
      </c>
      <c r="AX11" s="139">
        <v>229</v>
      </c>
      <c r="AY11" s="139">
        <v>185</v>
      </c>
      <c r="AZ11" s="139">
        <v>203</v>
      </c>
      <c r="BA11" s="139">
        <v>285.4</v>
      </c>
      <c r="BB11" s="139">
        <v>127</v>
      </c>
      <c r="BC11" s="139">
        <v>31.7</v>
      </c>
      <c r="BD11" s="139">
        <v>5</v>
      </c>
      <c r="BE11" s="139">
        <v>18.6</v>
      </c>
      <c r="BF11" s="139">
        <v>92</v>
      </c>
      <c r="BG11" s="139">
        <v>131</v>
      </c>
      <c r="BH11" s="139">
        <v>190</v>
      </c>
      <c r="BI11" s="139">
        <v>47.1</v>
      </c>
      <c r="BJ11" s="139">
        <v>13</v>
      </c>
      <c r="BK11" s="139">
        <v>25</v>
      </c>
      <c r="BL11" s="139">
        <v>45.29</v>
      </c>
      <c r="BM11" s="139">
        <v>0</v>
      </c>
      <c r="BN11" s="139">
        <v>50</v>
      </c>
      <c r="BO11" s="139">
        <v>0</v>
      </c>
      <c r="BP11" s="139">
        <v>41.9</v>
      </c>
      <c r="BQ11" s="139">
        <v>25</v>
      </c>
      <c r="BR11" s="139">
        <v>0</v>
      </c>
      <c r="BS11" s="139">
        <v>0</v>
      </c>
      <c r="BT11" s="89"/>
      <c r="BV11" s="89">
        <f>SUM(C11:BU11)</f>
        <v>29827.230000000003</v>
      </c>
      <c r="BW11" s="40"/>
      <c r="BX11" s="40"/>
    </row>
    <row r="12" spans="1:76" s="1" customFormat="1" ht="12.75">
      <c r="A12" s="40"/>
      <c r="B12" s="37" t="s">
        <v>492</v>
      </c>
      <c r="C12" s="89">
        <f aca="true" t="shared" si="0" ref="C12:AH12">SUM(C8:C11)</f>
        <v>8929.5</v>
      </c>
      <c r="D12" s="89">
        <f t="shared" si="0"/>
        <v>48619.799999999996</v>
      </c>
      <c r="E12" s="89">
        <f t="shared" si="0"/>
        <v>0</v>
      </c>
      <c r="F12" s="89">
        <f t="shared" si="0"/>
        <v>0</v>
      </c>
      <c r="G12" s="89">
        <f t="shared" si="0"/>
        <v>574.9300000000001</v>
      </c>
      <c r="H12" s="89">
        <f t="shared" si="0"/>
        <v>39458</v>
      </c>
      <c r="I12" s="89">
        <f t="shared" si="0"/>
        <v>23794</v>
      </c>
      <c r="J12" s="89">
        <f t="shared" si="0"/>
        <v>185</v>
      </c>
      <c r="K12" s="89">
        <f t="shared" si="0"/>
        <v>26221</v>
      </c>
      <c r="L12" s="89">
        <f t="shared" si="0"/>
        <v>35.4</v>
      </c>
      <c r="M12" s="89">
        <f t="shared" si="0"/>
        <v>24120</v>
      </c>
      <c r="N12" s="89">
        <f t="shared" si="0"/>
        <v>14888.8</v>
      </c>
      <c r="O12" s="89">
        <f t="shared" si="0"/>
        <v>17306</v>
      </c>
      <c r="P12" s="89">
        <f t="shared" si="0"/>
        <v>40</v>
      </c>
      <c r="Q12" s="89">
        <f t="shared" si="0"/>
        <v>10357</v>
      </c>
      <c r="R12" s="89">
        <f t="shared" si="0"/>
        <v>953.6999999999999</v>
      </c>
      <c r="S12" s="89">
        <f t="shared" si="0"/>
        <v>7514.000000000001</v>
      </c>
      <c r="T12" s="89">
        <f t="shared" si="0"/>
        <v>444.1</v>
      </c>
      <c r="U12" s="89">
        <f t="shared" si="0"/>
        <v>0</v>
      </c>
      <c r="V12" s="89">
        <f t="shared" si="0"/>
        <v>7570</v>
      </c>
      <c r="W12" s="89">
        <f t="shared" si="0"/>
        <v>7615</v>
      </c>
      <c r="X12" s="89">
        <f t="shared" si="0"/>
        <v>5411.66</v>
      </c>
      <c r="Y12" s="89">
        <f t="shared" si="0"/>
        <v>5788</v>
      </c>
      <c r="Z12" s="89">
        <f t="shared" si="0"/>
        <v>6515</v>
      </c>
      <c r="AA12" s="89">
        <f t="shared" si="0"/>
        <v>990</v>
      </c>
      <c r="AB12" s="89">
        <f t="shared" si="0"/>
        <v>1391</v>
      </c>
      <c r="AC12" s="89">
        <f t="shared" si="0"/>
        <v>4331</v>
      </c>
      <c r="AD12" s="89">
        <f t="shared" si="0"/>
        <v>440</v>
      </c>
      <c r="AE12" s="89">
        <f t="shared" si="0"/>
        <v>0</v>
      </c>
      <c r="AF12" s="89">
        <f t="shared" si="0"/>
        <v>5018</v>
      </c>
      <c r="AG12" s="89">
        <f t="shared" si="0"/>
        <v>6483</v>
      </c>
      <c r="AH12" s="89">
        <f t="shared" si="0"/>
        <v>6691</v>
      </c>
      <c r="AI12" s="89">
        <f aca="true" t="shared" si="1" ref="AI12:BN12">SUM(AI8:AI11)</f>
        <v>5774.8</v>
      </c>
      <c r="AJ12" s="89">
        <f t="shared" si="1"/>
        <v>5243.799999999999</v>
      </c>
      <c r="AK12" s="89">
        <f t="shared" si="1"/>
        <v>5033</v>
      </c>
      <c r="AL12" s="89">
        <f t="shared" si="1"/>
        <v>4300</v>
      </c>
      <c r="AM12" s="89">
        <f t="shared" si="1"/>
        <v>2885</v>
      </c>
      <c r="AN12" s="89">
        <f t="shared" si="1"/>
        <v>3241</v>
      </c>
      <c r="AO12" s="89">
        <f t="shared" si="1"/>
        <v>3951</v>
      </c>
      <c r="AP12" s="89">
        <f t="shared" si="1"/>
        <v>2633</v>
      </c>
      <c r="AQ12" s="89">
        <f t="shared" si="1"/>
        <v>2573.9</v>
      </c>
      <c r="AR12" s="89">
        <f t="shared" si="1"/>
        <v>126.60000000000001</v>
      </c>
      <c r="AS12" s="89">
        <f t="shared" si="1"/>
        <v>151</v>
      </c>
      <c r="AT12" s="89">
        <f t="shared" si="1"/>
        <v>268</v>
      </c>
      <c r="AU12" s="89">
        <f t="shared" si="1"/>
        <v>952</v>
      </c>
      <c r="AV12" s="89">
        <f t="shared" si="1"/>
        <v>425</v>
      </c>
      <c r="AW12" s="89">
        <f t="shared" si="1"/>
        <v>0</v>
      </c>
      <c r="AX12" s="89">
        <f t="shared" si="1"/>
        <v>979.8</v>
      </c>
      <c r="AY12" s="89">
        <f t="shared" si="1"/>
        <v>2372</v>
      </c>
      <c r="AZ12" s="89">
        <f t="shared" si="1"/>
        <v>1502</v>
      </c>
      <c r="BA12" s="89">
        <f t="shared" si="1"/>
        <v>325.30000000000007</v>
      </c>
      <c r="BB12" s="89">
        <f t="shared" si="1"/>
        <v>1781</v>
      </c>
      <c r="BC12" s="89">
        <f t="shared" si="1"/>
        <v>584.7</v>
      </c>
      <c r="BD12" s="89">
        <f t="shared" si="1"/>
        <v>414</v>
      </c>
      <c r="BE12" s="89">
        <f t="shared" si="1"/>
        <v>620.9</v>
      </c>
      <c r="BF12" s="89">
        <f t="shared" si="1"/>
        <v>912</v>
      </c>
      <c r="BG12" s="89">
        <f t="shared" si="1"/>
        <v>582</v>
      </c>
      <c r="BH12" s="89">
        <f t="shared" si="1"/>
        <v>1019</v>
      </c>
      <c r="BI12" s="89">
        <f t="shared" si="1"/>
        <v>503.40000000000003</v>
      </c>
      <c r="BJ12" s="89">
        <f t="shared" si="1"/>
        <v>288</v>
      </c>
      <c r="BK12" s="89">
        <f t="shared" si="1"/>
        <v>510</v>
      </c>
      <c r="BL12" s="89">
        <f t="shared" si="1"/>
        <v>125.99000000000001</v>
      </c>
      <c r="BM12" s="89">
        <f t="shared" si="1"/>
        <v>127.9</v>
      </c>
      <c r="BN12" s="89">
        <f t="shared" si="1"/>
        <v>411</v>
      </c>
      <c r="BO12" s="89">
        <f aca="true" t="shared" si="2" ref="BO12:BT12">SUM(BO8:BO11)</f>
        <v>357.3</v>
      </c>
      <c r="BP12" s="89">
        <f t="shared" si="2"/>
        <v>167</v>
      </c>
      <c r="BQ12" s="89">
        <f t="shared" si="2"/>
        <v>122.7</v>
      </c>
      <c r="BR12" s="89">
        <f t="shared" si="2"/>
        <v>19</v>
      </c>
      <c r="BS12" s="89">
        <f t="shared" si="2"/>
        <v>4</v>
      </c>
      <c r="BT12" s="89">
        <f t="shared" si="2"/>
        <v>0</v>
      </c>
      <c r="BV12" s="89">
        <f aca="true" t="shared" si="3" ref="BV12:BV30">SUM(C12:BU12)</f>
        <v>332971.98000000004</v>
      </c>
      <c r="BW12" s="40"/>
      <c r="BX12" s="37"/>
    </row>
    <row r="13" spans="3:76" s="1" customFormat="1" ht="12.75"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V13" s="89"/>
      <c r="BW13" s="40"/>
      <c r="BX13" s="40"/>
    </row>
    <row r="14" spans="1:76" s="1" customFormat="1" ht="12.75">
      <c r="A14" s="38" t="s">
        <v>493</v>
      </c>
      <c r="B14" s="4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V14" s="89"/>
      <c r="BW14" s="38"/>
      <c r="BX14" s="40"/>
    </row>
    <row r="15" spans="1:76" s="1" customFormat="1" ht="12.75">
      <c r="A15" s="40"/>
      <c r="B15" s="40" t="s">
        <v>488</v>
      </c>
      <c r="C15" s="139">
        <v>2</v>
      </c>
      <c r="D15" s="139">
        <v>223.2</v>
      </c>
      <c r="E15" s="139">
        <v>0</v>
      </c>
      <c r="F15" s="139">
        <v>0</v>
      </c>
      <c r="G15" s="139">
        <v>249.28</v>
      </c>
      <c r="H15" s="139">
        <v>2103</v>
      </c>
      <c r="I15" s="139">
        <v>1108</v>
      </c>
      <c r="J15" s="139">
        <v>0</v>
      </c>
      <c r="K15" s="139">
        <v>882</v>
      </c>
      <c r="L15" s="139">
        <v>0</v>
      </c>
      <c r="M15" s="139">
        <v>555</v>
      </c>
      <c r="N15" s="139">
        <v>0</v>
      </c>
      <c r="O15" s="139">
        <v>100</v>
      </c>
      <c r="P15" s="139">
        <v>0</v>
      </c>
      <c r="Q15" s="139">
        <v>2261</v>
      </c>
      <c r="R15" s="139">
        <v>0</v>
      </c>
      <c r="S15" s="139">
        <v>55.9</v>
      </c>
      <c r="T15" s="139">
        <v>0</v>
      </c>
      <c r="U15" s="139">
        <v>0</v>
      </c>
      <c r="V15" s="139">
        <v>278</v>
      </c>
      <c r="W15" s="139">
        <v>18</v>
      </c>
      <c r="X15" s="139">
        <v>0</v>
      </c>
      <c r="Y15" s="139">
        <v>71</v>
      </c>
      <c r="Z15" s="139">
        <v>8</v>
      </c>
      <c r="AA15" s="139">
        <v>6</v>
      </c>
      <c r="AB15" s="139">
        <v>8</v>
      </c>
      <c r="AC15" s="139">
        <v>26</v>
      </c>
      <c r="AD15" s="139">
        <v>1</v>
      </c>
      <c r="AE15" s="139">
        <v>0</v>
      </c>
      <c r="AF15" s="139">
        <v>0</v>
      </c>
      <c r="AG15" s="139">
        <v>125</v>
      </c>
      <c r="AH15" s="139">
        <v>795</v>
      </c>
      <c r="AI15" s="139">
        <v>50</v>
      </c>
      <c r="AJ15" s="139">
        <v>62.5</v>
      </c>
      <c r="AK15" s="139">
        <v>25</v>
      </c>
      <c r="AL15" s="139">
        <v>38</v>
      </c>
      <c r="AM15" s="139">
        <v>11</v>
      </c>
      <c r="AN15" s="139">
        <v>1602</v>
      </c>
      <c r="AO15" s="139">
        <v>0</v>
      </c>
      <c r="AP15" s="139">
        <v>8</v>
      </c>
      <c r="AQ15" s="139">
        <v>0</v>
      </c>
      <c r="AR15" s="139">
        <v>0</v>
      </c>
      <c r="AS15" s="139">
        <v>15</v>
      </c>
      <c r="AT15" s="139">
        <v>30</v>
      </c>
      <c r="AU15" s="139">
        <v>92</v>
      </c>
      <c r="AV15" s="139">
        <v>35</v>
      </c>
      <c r="AW15" s="139">
        <v>0</v>
      </c>
      <c r="AX15" s="139">
        <v>0</v>
      </c>
      <c r="AY15" s="139">
        <v>2</v>
      </c>
      <c r="AZ15" s="139">
        <v>202</v>
      </c>
      <c r="BA15" s="139">
        <v>81.8</v>
      </c>
      <c r="BB15" s="139">
        <v>6</v>
      </c>
      <c r="BC15" s="139">
        <v>0</v>
      </c>
      <c r="BD15" s="139">
        <v>3</v>
      </c>
      <c r="BE15" s="139">
        <v>0</v>
      </c>
      <c r="BF15" s="139">
        <v>1</v>
      </c>
      <c r="BG15" s="139">
        <v>0</v>
      </c>
      <c r="BH15" s="139">
        <v>7</v>
      </c>
      <c r="BI15" s="139">
        <v>80.3</v>
      </c>
      <c r="BJ15" s="139">
        <v>22</v>
      </c>
      <c r="BK15" s="139">
        <v>11</v>
      </c>
      <c r="BL15" s="139">
        <v>0</v>
      </c>
      <c r="BM15" s="139">
        <v>0</v>
      </c>
      <c r="BN15" s="139">
        <v>0</v>
      </c>
      <c r="BO15" s="139">
        <v>34.2</v>
      </c>
      <c r="BP15" s="139">
        <v>0</v>
      </c>
      <c r="BQ15" s="139">
        <v>0</v>
      </c>
      <c r="BR15" s="139">
        <v>0</v>
      </c>
      <c r="BS15" s="139">
        <v>0</v>
      </c>
      <c r="BT15" s="89"/>
      <c r="BV15" s="89">
        <f t="shared" si="3"/>
        <v>11294.179999999998</v>
      </c>
      <c r="BW15" s="40"/>
      <c r="BX15" s="40"/>
    </row>
    <row r="16" spans="1:76" s="1" customFormat="1" ht="12.75">
      <c r="A16" s="40"/>
      <c r="B16" s="40" t="s">
        <v>489</v>
      </c>
      <c r="C16" s="139">
        <v>490.8</v>
      </c>
      <c r="D16" s="139">
        <v>787.7</v>
      </c>
      <c r="E16" s="139">
        <v>0</v>
      </c>
      <c r="F16" s="139">
        <v>0</v>
      </c>
      <c r="G16" s="139">
        <v>0.31</v>
      </c>
      <c r="H16" s="139">
        <v>781</v>
      </c>
      <c r="I16" s="139">
        <v>1375</v>
      </c>
      <c r="J16" s="139">
        <v>0</v>
      </c>
      <c r="K16" s="139">
        <v>612</v>
      </c>
      <c r="L16" s="139">
        <v>0</v>
      </c>
      <c r="M16" s="139">
        <v>935</v>
      </c>
      <c r="N16" s="139">
        <v>12.2</v>
      </c>
      <c r="O16" s="139">
        <v>475</v>
      </c>
      <c r="P16" s="139">
        <v>0</v>
      </c>
      <c r="Q16" s="139">
        <v>25</v>
      </c>
      <c r="R16" s="139">
        <v>32.8</v>
      </c>
      <c r="S16" s="139">
        <v>307.8</v>
      </c>
      <c r="T16" s="139">
        <v>0.3</v>
      </c>
      <c r="U16" s="139">
        <v>0</v>
      </c>
      <c r="V16" s="139">
        <v>117</v>
      </c>
      <c r="W16" s="139">
        <v>89</v>
      </c>
      <c r="X16" s="139">
        <v>147.02</v>
      </c>
      <c r="Y16" s="139">
        <v>276</v>
      </c>
      <c r="Z16" s="139">
        <v>520</v>
      </c>
      <c r="AA16" s="139">
        <v>18</v>
      </c>
      <c r="AB16" s="139">
        <v>23</v>
      </c>
      <c r="AC16" s="139">
        <v>81</v>
      </c>
      <c r="AD16" s="139">
        <v>8</v>
      </c>
      <c r="AE16" s="139">
        <v>0</v>
      </c>
      <c r="AF16" s="139">
        <v>106</v>
      </c>
      <c r="AG16" s="139">
        <v>230</v>
      </c>
      <c r="AH16" s="139">
        <v>2</v>
      </c>
      <c r="AI16" s="139">
        <v>225.7</v>
      </c>
      <c r="AJ16" s="139">
        <v>141</v>
      </c>
      <c r="AK16" s="139">
        <v>225</v>
      </c>
      <c r="AL16" s="139">
        <v>95</v>
      </c>
      <c r="AM16" s="139">
        <v>173</v>
      </c>
      <c r="AN16" s="139">
        <v>264</v>
      </c>
      <c r="AO16" s="139">
        <v>19</v>
      </c>
      <c r="AP16" s="139">
        <v>82</v>
      </c>
      <c r="AQ16" s="139">
        <v>105</v>
      </c>
      <c r="AR16" s="139">
        <v>0</v>
      </c>
      <c r="AS16" s="139">
        <v>0</v>
      </c>
      <c r="AT16" s="139">
        <v>0</v>
      </c>
      <c r="AU16" s="139">
        <v>2</v>
      </c>
      <c r="AV16" s="139">
        <v>1</v>
      </c>
      <c r="AW16" s="139">
        <v>0</v>
      </c>
      <c r="AX16" s="139">
        <v>1</v>
      </c>
      <c r="AY16" s="139">
        <v>83</v>
      </c>
      <c r="AZ16" s="139">
        <v>75</v>
      </c>
      <c r="BA16" s="139">
        <v>0</v>
      </c>
      <c r="BB16" s="139">
        <v>24</v>
      </c>
      <c r="BC16" s="139">
        <v>66.4</v>
      </c>
      <c r="BD16" s="139">
        <v>39</v>
      </c>
      <c r="BE16" s="139">
        <v>36.1</v>
      </c>
      <c r="BF16" s="139">
        <v>11</v>
      </c>
      <c r="BG16" s="139">
        <v>21</v>
      </c>
      <c r="BH16" s="139">
        <v>5</v>
      </c>
      <c r="BI16" s="139">
        <v>101</v>
      </c>
      <c r="BJ16" s="139">
        <v>34</v>
      </c>
      <c r="BK16" s="139">
        <v>8</v>
      </c>
      <c r="BL16" s="139">
        <v>97.8</v>
      </c>
      <c r="BM16" s="139">
        <v>6.3</v>
      </c>
      <c r="BN16" s="139">
        <v>2</v>
      </c>
      <c r="BO16" s="139">
        <v>0</v>
      </c>
      <c r="BP16" s="139">
        <v>98</v>
      </c>
      <c r="BQ16" s="139">
        <v>0</v>
      </c>
      <c r="BR16" s="139">
        <v>0</v>
      </c>
      <c r="BS16" s="139">
        <v>0</v>
      </c>
      <c r="BT16" s="89"/>
      <c r="BV16" s="89">
        <f t="shared" si="3"/>
        <v>9493.23</v>
      </c>
      <c r="BW16" s="40"/>
      <c r="BX16" s="40"/>
    </row>
    <row r="17" spans="1:76" s="1" customFormat="1" ht="12.75">
      <c r="A17" s="40"/>
      <c r="B17" s="40" t="s">
        <v>490</v>
      </c>
      <c r="C17" s="139">
        <v>79.6</v>
      </c>
      <c r="D17" s="139">
        <v>660.3</v>
      </c>
      <c r="E17" s="139">
        <v>0</v>
      </c>
      <c r="F17" s="139">
        <v>0</v>
      </c>
      <c r="G17" s="139">
        <v>4.93</v>
      </c>
      <c r="H17" s="139">
        <v>6405</v>
      </c>
      <c r="I17" s="139">
        <v>1036</v>
      </c>
      <c r="J17" s="139">
        <v>0</v>
      </c>
      <c r="K17" s="139">
        <v>2113</v>
      </c>
      <c r="L17" s="139">
        <v>0.3</v>
      </c>
      <c r="M17" s="139">
        <v>1168</v>
      </c>
      <c r="N17" s="139">
        <v>1441.7</v>
      </c>
      <c r="O17" s="139">
        <v>0</v>
      </c>
      <c r="P17" s="139">
        <v>0</v>
      </c>
      <c r="Q17" s="139">
        <v>140</v>
      </c>
      <c r="R17" s="139">
        <v>40.5</v>
      </c>
      <c r="S17" s="139">
        <v>364.8</v>
      </c>
      <c r="T17" s="139">
        <v>4.3</v>
      </c>
      <c r="U17" s="139">
        <v>0</v>
      </c>
      <c r="V17" s="139">
        <v>257</v>
      </c>
      <c r="W17" s="139">
        <v>47</v>
      </c>
      <c r="X17" s="139">
        <v>556.84</v>
      </c>
      <c r="Y17" s="139">
        <v>271</v>
      </c>
      <c r="Z17" s="139">
        <v>590</v>
      </c>
      <c r="AA17" s="139">
        <v>18</v>
      </c>
      <c r="AB17" s="139">
        <v>23</v>
      </c>
      <c r="AC17" s="139">
        <v>80</v>
      </c>
      <c r="AD17" s="139">
        <v>8</v>
      </c>
      <c r="AE17" s="139">
        <v>0</v>
      </c>
      <c r="AF17" s="139">
        <v>3</v>
      </c>
      <c r="AG17" s="139">
        <v>179</v>
      </c>
      <c r="AH17" s="139">
        <v>23</v>
      </c>
      <c r="AI17" s="139">
        <v>202</v>
      </c>
      <c r="AJ17" s="139">
        <v>288.9</v>
      </c>
      <c r="AK17" s="139">
        <v>607</v>
      </c>
      <c r="AL17" s="139">
        <v>224</v>
      </c>
      <c r="AM17" s="139">
        <v>87</v>
      </c>
      <c r="AN17" s="139">
        <v>0</v>
      </c>
      <c r="AO17" s="139">
        <v>111</v>
      </c>
      <c r="AP17" s="139">
        <v>125</v>
      </c>
      <c r="AQ17" s="139">
        <v>12.8</v>
      </c>
      <c r="AR17" s="139">
        <v>0.8</v>
      </c>
      <c r="AS17" s="139">
        <v>7</v>
      </c>
      <c r="AT17" s="139">
        <v>10</v>
      </c>
      <c r="AU17" s="139">
        <v>42</v>
      </c>
      <c r="AV17" s="139">
        <v>9</v>
      </c>
      <c r="AW17" s="139">
        <v>0</v>
      </c>
      <c r="AX17" s="139">
        <v>3</v>
      </c>
      <c r="AY17" s="139">
        <v>12</v>
      </c>
      <c r="AZ17" s="139">
        <v>126</v>
      </c>
      <c r="BA17" s="139">
        <v>1051</v>
      </c>
      <c r="BB17" s="139">
        <v>59</v>
      </c>
      <c r="BC17" s="139">
        <v>55.7</v>
      </c>
      <c r="BD17" s="139">
        <v>20</v>
      </c>
      <c r="BE17" s="139">
        <v>116.9</v>
      </c>
      <c r="BF17" s="139">
        <v>6</v>
      </c>
      <c r="BG17" s="139">
        <v>0</v>
      </c>
      <c r="BH17" s="139">
        <v>36</v>
      </c>
      <c r="BI17" s="139">
        <v>6.2</v>
      </c>
      <c r="BJ17" s="139">
        <v>18</v>
      </c>
      <c r="BK17" s="139">
        <v>55</v>
      </c>
      <c r="BL17" s="139">
        <v>48.9</v>
      </c>
      <c r="BM17" s="139">
        <v>59.4</v>
      </c>
      <c r="BN17" s="139">
        <v>9</v>
      </c>
      <c r="BO17" s="139">
        <v>0</v>
      </c>
      <c r="BP17" s="139">
        <v>6.6</v>
      </c>
      <c r="BQ17" s="139">
        <v>0</v>
      </c>
      <c r="BR17" s="139">
        <v>0</v>
      </c>
      <c r="BS17" s="139">
        <v>0</v>
      </c>
      <c r="BT17" s="89"/>
      <c r="BV17" s="89">
        <f t="shared" si="3"/>
        <v>18929.47</v>
      </c>
      <c r="BW17" s="40"/>
      <c r="BX17" s="40"/>
    </row>
    <row r="18" spans="1:76" s="1" customFormat="1" ht="12.75">
      <c r="A18" s="40"/>
      <c r="B18" s="40" t="s">
        <v>491</v>
      </c>
      <c r="C18" s="139">
        <v>186.7</v>
      </c>
      <c r="D18" s="139">
        <v>176.6</v>
      </c>
      <c r="E18" s="139">
        <v>0</v>
      </c>
      <c r="F18" s="139">
        <v>0</v>
      </c>
      <c r="G18" s="139">
        <v>0.89</v>
      </c>
      <c r="H18" s="139">
        <v>1022</v>
      </c>
      <c r="I18" s="139">
        <v>541</v>
      </c>
      <c r="J18" s="139">
        <v>0</v>
      </c>
      <c r="K18" s="139">
        <v>221</v>
      </c>
      <c r="L18" s="139">
        <v>0</v>
      </c>
      <c r="M18" s="139">
        <v>381</v>
      </c>
      <c r="N18" s="139">
        <v>352.7</v>
      </c>
      <c r="O18" s="139">
        <v>49</v>
      </c>
      <c r="P18" s="139">
        <v>0</v>
      </c>
      <c r="Q18" s="139">
        <v>73</v>
      </c>
      <c r="R18" s="139">
        <v>49.4</v>
      </c>
      <c r="S18" s="139">
        <v>289.3</v>
      </c>
      <c r="T18" s="139">
        <v>1</v>
      </c>
      <c r="U18" s="139">
        <v>0</v>
      </c>
      <c r="V18" s="139">
        <v>481</v>
      </c>
      <c r="W18" s="139">
        <v>464</v>
      </c>
      <c r="X18" s="139">
        <v>766.66</v>
      </c>
      <c r="Y18" s="139">
        <v>52</v>
      </c>
      <c r="Z18" s="139">
        <v>74</v>
      </c>
      <c r="AA18" s="139">
        <v>40</v>
      </c>
      <c r="AB18" s="139">
        <v>53</v>
      </c>
      <c r="AC18" s="139">
        <v>181</v>
      </c>
      <c r="AD18" s="139">
        <v>19</v>
      </c>
      <c r="AE18" s="139">
        <v>0</v>
      </c>
      <c r="AF18" s="139">
        <v>136</v>
      </c>
      <c r="AG18" s="139">
        <v>365</v>
      </c>
      <c r="AH18" s="139">
        <v>41</v>
      </c>
      <c r="AI18" s="139">
        <v>128.3</v>
      </c>
      <c r="AJ18" s="139">
        <v>6</v>
      </c>
      <c r="AK18" s="139">
        <v>159</v>
      </c>
      <c r="AL18" s="139">
        <v>84</v>
      </c>
      <c r="AM18" s="139">
        <v>71</v>
      </c>
      <c r="AN18" s="139">
        <v>0</v>
      </c>
      <c r="AO18" s="139">
        <v>32</v>
      </c>
      <c r="AP18" s="139">
        <v>197</v>
      </c>
      <c r="AQ18" s="139">
        <v>40</v>
      </c>
      <c r="AR18" s="139">
        <v>0</v>
      </c>
      <c r="AS18" s="139"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v>18</v>
      </c>
      <c r="AY18" s="139">
        <v>45</v>
      </c>
      <c r="AZ18" s="139">
        <v>89</v>
      </c>
      <c r="BA18" s="139">
        <v>0</v>
      </c>
      <c r="BB18" s="139">
        <v>32</v>
      </c>
      <c r="BC18" s="139">
        <v>53.5</v>
      </c>
      <c r="BD18" s="139">
        <v>106</v>
      </c>
      <c r="BE18" s="139">
        <v>0</v>
      </c>
      <c r="BF18" s="139">
        <v>21</v>
      </c>
      <c r="BG18" s="139">
        <v>70</v>
      </c>
      <c r="BH18" s="139">
        <v>7</v>
      </c>
      <c r="BI18" s="139">
        <v>22.8</v>
      </c>
      <c r="BJ18" s="139">
        <v>9</v>
      </c>
      <c r="BK18" s="139">
        <v>2</v>
      </c>
      <c r="BL18" s="139">
        <v>52.3</v>
      </c>
      <c r="BM18" s="139">
        <v>22.2</v>
      </c>
      <c r="BN18" s="139">
        <v>3</v>
      </c>
      <c r="BO18" s="139">
        <v>0</v>
      </c>
      <c r="BP18" s="139">
        <v>0</v>
      </c>
      <c r="BQ18" s="139">
        <v>4</v>
      </c>
      <c r="BR18" s="139">
        <v>0</v>
      </c>
      <c r="BS18" s="139">
        <v>0</v>
      </c>
      <c r="BT18" s="89"/>
      <c r="BV18" s="89">
        <f t="shared" si="3"/>
        <v>7290.35</v>
      </c>
      <c r="BW18" s="40"/>
      <c r="BX18" s="40"/>
    </row>
    <row r="19" spans="1:76" s="1" customFormat="1" ht="12.75">
      <c r="A19" s="40"/>
      <c r="B19" s="40" t="s">
        <v>494</v>
      </c>
      <c r="C19" s="139">
        <v>6766.7</v>
      </c>
      <c r="D19" s="139">
        <v>17397</v>
      </c>
      <c r="E19" s="139">
        <v>56.6</v>
      </c>
      <c r="F19" s="139">
        <v>0</v>
      </c>
      <c r="G19" s="139">
        <v>0</v>
      </c>
      <c r="H19" s="139">
        <v>20382</v>
      </c>
      <c r="I19" s="139">
        <v>8906</v>
      </c>
      <c r="J19" s="139">
        <v>0</v>
      </c>
      <c r="K19" s="139">
        <v>3904</v>
      </c>
      <c r="L19" s="139">
        <v>0</v>
      </c>
      <c r="M19" s="139">
        <v>9446</v>
      </c>
      <c r="N19" s="139">
        <v>1732.5</v>
      </c>
      <c r="O19" s="139">
        <v>958</v>
      </c>
      <c r="P19" s="139">
        <v>0</v>
      </c>
      <c r="Q19" s="139">
        <v>2671</v>
      </c>
      <c r="R19" s="139">
        <v>0</v>
      </c>
      <c r="S19" s="139">
        <v>257.3</v>
      </c>
      <c r="T19" s="139">
        <v>0</v>
      </c>
      <c r="U19" s="139">
        <v>0</v>
      </c>
      <c r="V19" s="139">
        <v>5894</v>
      </c>
      <c r="W19" s="139">
        <v>4143</v>
      </c>
      <c r="X19" s="139">
        <v>1053.52</v>
      </c>
      <c r="Y19" s="139">
        <v>2330</v>
      </c>
      <c r="Z19" s="139">
        <v>623</v>
      </c>
      <c r="AA19" s="139">
        <v>37</v>
      </c>
      <c r="AB19" s="139">
        <v>48</v>
      </c>
      <c r="AC19" s="139">
        <v>169</v>
      </c>
      <c r="AD19" s="139">
        <v>16</v>
      </c>
      <c r="AE19" s="139">
        <v>0</v>
      </c>
      <c r="AF19" s="139">
        <v>3804</v>
      </c>
      <c r="AG19" s="139">
        <v>1170</v>
      </c>
      <c r="AH19" s="139">
        <v>699</v>
      </c>
      <c r="AI19" s="139">
        <v>1.2</v>
      </c>
      <c r="AJ19" s="139">
        <v>1537.2</v>
      </c>
      <c r="AK19" s="139">
        <v>0</v>
      </c>
      <c r="AL19" s="139">
        <v>1321</v>
      </c>
      <c r="AM19" s="139">
        <v>863</v>
      </c>
      <c r="AN19" s="139">
        <v>183</v>
      </c>
      <c r="AO19" s="139">
        <v>0</v>
      </c>
      <c r="AP19" s="139">
        <v>304</v>
      </c>
      <c r="AQ19" s="139">
        <v>951.9</v>
      </c>
      <c r="AR19" s="139">
        <v>0</v>
      </c>
      <c r="AS19" s="139">
        <v>1</v>
      </c>
      <c r="AT19" s="139">
        <v>0</v>
      </c>
      <c r="AU19" s="139">
        <v>3</v>
      </c>
      <c r="AV19" s="139">
        <v>1</v>
      </c>
      <c r="AW19" s="139">
        <v>0</v>
      </c>
      <c r="AX19" s="139">
        <v>1945.6</v>
      </c>
      <c r="AY19" s="139">
        <v>0</v>
      </c>
      <c r="AZ19" s="139">
        <v>113</v>
      </c>
      <c r="BA19" s="139">
        <v>20.3</v>
      </c>
      <c r="BB19" s="139">
        <v>64</v>
      </c>
      <c r="BC19" s="139">
        <v>60.4</v>
      </c>
      <c r="BD19" s="139">
        <v>442</v>
      </c>
      <c r="BE19" s="139">
        <v>101.2</v>
      </c>
      <c r="BF19" s="139">
        <v>94</v>
      </c>
      <c r="BG19" s="139">
        <v>357</v>
      </c>
      <c r="BH19" s="139">
        <v>47</v>
      </c>
      <c r="BI19" s="139">
        <v>141.5</v>
      </c>
      <c r="BJ19" s="139">
        <v>99</v>
      </c>
      <c r="BK19" s="139">
        <v>1</v>
      </c>
      <c r="BL19" s="139">
        <v>23.7</v>
      </c>
      <c r="BM19" s="139">
        <v>102.9</v>
      </c>
      <c r="BN19" s="139">
        <v>8</v>
      </c>
      <c r="BO19" s="139">
        <v>34.8</v>
      </c>
      <c r="BP19" s="139">
        <v>10.7</v>
      </c>
      <c r="BQ19" s="139">
        <v>7.4</v>
      </c>
      <c r="BR19" s="139">
        <v>48</v>
      </c>
      <c r="BS19" s="139">
        <v>5.7</v>
      </c>
      <c r="BT19" s="89"/>
      <c r="BV19" s="89">
        <f t="shared" si="3"/>
        <v>101357.11999999998</v>
      </c>
      <c r="BW19" s="40"/>
      <c r="BX19" s="40"/>
    </row>
    <row r="20" spans="1:76" s="1" customFormat="1" ht="12.75">
      <c r="A20" s="40"/>
      <c r="B20" s="37" t="s">
        <v>492</v>
      </c>
      <c r="C20" s="139">
        <f aca="true" t="shared" si="4" ref="C20:BN20">SUM(C15:C19)</f>
        <v>7525.799999999999</v>
      </c>
      <c r="D20" s="139">
        <f t="shared" si="4"/>
        <v>19244.8</v>
      </c>
      <c r="E20" s="139">
        <f>SUM(E15:E19)</f>
        <v>56.6</v>
      </c>
      <c r="F20" s="139">
        <f t="shared" si="4"/>
        <v>0</v>
      </c>
      <c r="G20" s="139">
        <f t="shared" si="4"/>
        <v>255.41</v>
      </c>
      <c r="H20" s="139">
        <f>SUM(H15:H19)</f>
        <v>30693</v>
      </c>
      <c r="I20" s="139">
        <f t="shared" si="4"/>
        <v>12966</v>
      </c>
      <c r="J20" s="139">
        <f t="shared" si="4"/>
        <v>0</v>
      </c>
      <c r="K20" s="139">
        <f>SUM(K15:K19)</f>
        <v>7732</v>
      </c>
      <c r="L20" s="139">
        <f>SUM(L15:L19)</f>
        <v>0.3</v>
      </c>
      <c r="M20" s="139">
        <f t="shared" si="4"/>
        <v>12485</v>
      </c>
      <c r="N20" s="139">
        <f t="shared" si="4"/>
        <v>3539.1000000000004</v>
      </c>
      <c r="O20" s="139">
        <f t="shared" si="4"/>
        <v>1582</v>
      </c>
      <c r="P20" s="139">
        <f t="shared" si="4"/>
        <v>0</v>
      </c>
      <c r="Q20" s="139">
        <f t="shared" si="4"/>
        <v>5170</v>
      </c>
      <c r="R20" s="139">
        <f t="shared" si="4"/>
        <v>122.69999999999999</v>
      </c>
      <c r="S20" s="139">
        <f t="shared" si="4"/>
        <v>1275.1</v>
      </c>
      <c r="T20" s="139">
        <f t="shared" si="4"/>
        <v>5.6</v>
      </c>
      <c r="U20" s="139">
        <f t="shared" si="4"/>
        <v>0</v>
      </c>
      <c r="V20" s="139">
        <f t="shared" si="4"/>
        <v>7027</v>
      </c>
      <c r="W20" s="139">
        <f t="shared" si="4"/>
        <v>4761</v>
      </c>
      <c r="X20" s="139">
        <f t="shared" si="4"/>
        <v>2524.04</v>
      </c>
      <c r="Y20" s="139">
        <f t="shared" si="4"/>
        <v>3000</v>
      </c>
      <c r="Z20" s="139">
        <f t="shared" si="4"/>
        <v>1815</v>
      </c>
      <c r="AA20" s="139">
        <f t="shared" si="4"/>
        <v>119</v>
      </c>
      <c r="AB20" s="139">
        <f t="shared" si="4"/>
        <v>155</v>
      </c>
      <c r="AC20" s="139">
        <f t="shared" si="4"/>
        <v>537</v>
      </c>
      <c r="AD20" s="139">
        <f t="shared" si="4"/>
        <v>52</v>
      </c>
      <c r="AE20" s="139">
        <f t="shared" si="4"/>
        <v>0</v>
      </c>
      <c r="AF20" s="139">
        <f t="shared" si="4"/>
        <v>4049</v>
      </c>
      <c r="AG20" s="139">
        <f t="shared" si="4"/>
        <v>2069</v>
      </c>
      <c r="AH20" s="139">
        <f t="shared" si="4"/>
        <v>1560</v>
      </c>
      <c r="AI20" s="139">
        <f t="shared" si="4"/>
        <v>607.2</v>
      </c>
      <c r="AJ20" s="139">
        <f t="shared" si="4"/>
        <v>2035.6</v>
      </c>
      <c r="AK20" s="139">
        <f t="shared" si="4"/>
        <v>1016</v>
      </c>
      <c r="AL20" s="139">
        <f t="shared" si="4"/>
        <v>1762</v>
      </c>
      <c r="AM20" s="139">
        <f t="shared" si="4"/>
        <v>1205</v>
      </c>
      <c r="AN20" s="139">
        <f t="shared" si="4"/>
        <v>2049</v>
      </c>
      <c r="AO20" s="139">
        <f t="shared" si="4"/>
        <v>162</v>
      </c>
      <c r="AP20" s="139">
        <f t="shared" si="4"/>
        <v>716</v>
      </c>
      <c r="AQ20" s="139">
        <f t="shared" si="4"/>
        <v>1109.7</v>
      </c>
      <c r="AR20" s="139">
        <f t="shared" si="4"/>
        <v>0.8</v>
      </c>
      <c r="AS20" s="139">
        <f t="shared" si="4"/>
        <v>23</v>
      </c>
      <c r="AT20" s="139">
        <f t="shared" si="4"/>
        <v>40</v>
      </c>
      <c r="AU20" s="139">
        <f t="shared" si="4"/>
        <v>139</v>
      </c>
      <c r="AV20" s="139">
        <f t="shared" si="4"/>
        <v>46</v>
      </c>
      <c r="AW20" s="139">
        <f t="shared" si="4"/>
        <v>0</v>
      </c>
      <c r="AX20" s="139">
        <f t="shared" si="4"/>
        <v>1967.6</v>
      </c>
      <c r="AY20" s="139">
        <f t="shared" si="4"/>
        <v>142</v>
      </c>
      <c r="AZ20" s="139">
        <f t="shared" si="4"/>
        <v>605</v>
      </c>
      <c r="BA20" s="139">
        <f t="shared" si="4"/>
        <v>1153.1</v>
      </c>
      <c r="BB20" s="139">
        <f t="shared" si="4"/>
        <v>185</v>
      </c>
      <c r="BC20" s="139">
        <f t="shared" si="4"/>
        <v>236.00000000000003</v>
      </c>
      <c r="BD20" s="139">
        <f>SUM(BD15:BD19)</f>
        <v>610</v>
      </c>
      <c r="BE20" s="139">
        <f t="shared" si="4"/>
        <v>254.2</v>
      </c>
      <c r="BF20" s="139">
        <f>SUM(BF15:BF19)</f>
        <v>133</v>
      </c>
      <c r="BG20" s="139">
        <f>SUM(BG15:BG19)</f>
        <v>448</v>
      </c>
      <c r="BH20" s="139">
        <f t="shared" si="4"/>
        <v>102</v>
      </c>
      <c r="BI20" s="139">
        <f t="shared" si="4"/>
        <v>351.8</v>
      </c>
      <c r="BJ20" s="139">
        <f t="shared" si="4"/>
        <v>182</v>
      </c>
      <c r="BK20" s="139">
        <f>SUM(BK15:BK19)</f>
        <v>77</v>
      </c>
      <c r="BL20" s="139">
        <f t="shared" si="4"/>
        <v>222.7</v>
      </c>
      <c r="BM20" s="139">
        <f>SUM(BM15:BM19)</f>
        <v>190.8</v>
      </c>
      <c r="BN20" s="139">
        <f t="shared" si="4"/>
        <v>22</v>
      </c>
      <c r="BO20" s="139">
        <f aca="true" t="shared" si="5" ref="BO20:BT20">SUM(BO15:BO19)</f>
        <v>69</v>
      </c>
      <c r="BP20" s="139">
        <f t="shared" si="5"/>
        <v>115.3</v>
      </c>
      <c r="BQ20" s="139">
        <f t="shared" si="5"/>
        <v>11.4</v>
      </c>
      <c r="BR20" s="139">
        <f t="shared" si="5"/>
        <v>48</v>
      </c>
      <c r="BS20" s="139">
        <f t="shared" si="5"/>
        <v>5.7</v>
      </c>
      <c r="BT20" s="139">
        <f t="shared" si="5"/>
        <v>0</v>
      </c>
      <c r="BV20" s="89">
        <f t="shared" si="3"/>
        <v>148364.35</v>
      </c>
      <c r="BW20" s="40"/>
      <c r="BX20" s="37"/>
    </row>
    <row r="21" spans="3:76" s="1" customFormat="1" ht="12.75"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89"/>
      <c r="BV21" s="89"/>
      <c r="BW21" s="38"/>
      <c r="BX21" s="40"/>
    </row>
    <row r="22" spans="1:76" s="1" customFormat="1" ht="12.75">
      <c r="A22" s="38" t="s">
        <v>495</v>
      </c>
      <c r="B22" s="40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89"/>
      <c r="BV22" s="89"/>
      <c r="BW22" s="38"/>
      <c r="BX22" s="40"/>
    </row>
    <row r="23" spans="1:76" s="1" customFormat="1" ht="12.75">
      <c r="A23" s="43"/>
      <c r="B23" s="40" t="s">
        <v>496</v>
      </c>
      <c r="C23" s="139">
        <v>7211.5</v>
      </c>
      <c r="D23" s="139">
        <v>20903.9</v>
      </c>
      <c r="E23" s="139">
        <v>0</v>
      </c>
      <c r="F23" s="139">
        <v>0</v>
      </c>
      <c r="G23" s="139">
        <v>492.88</v>
      </c>
      <c r="H23" s="139">
        <v>29301</v>
      </c>
      <c r="I23" s="139">
        <v>14718</v>
      </c>
      <c r="J23" s="139">
        <v>67</v>
      </c>
      <c r="K23" s="139">
        <v>11854</v>
      </c>
      <c r="L23" s="139">
        <v>21.5</v>
      </c>
      <c r="M23" s="139">
        <v>11256</v>
      </c>
      <c r="N23" s="139">
        <v>6844.4</v>
      </c>
      <c r="O23" s="139">
        <v>4000</v>
      </c>
      <c r="P23" s="139">
        <v>19</v>
      </c>
      <c r="Q23" s="139">
        <v>3220</v>
      </c>
      <c r="R23" s="139">
        <v>739.3</v>
      </c>
      <c r="S23" s="139">
        <v>6584.3</v>
      </c>
      <c r="T23" s="139">
        <v>81.7</v>
      </c>
      <c r="U23" s="139">
        <v>0</v>
      </c>
      <c r="V23" s="139">
        <v>3866</v>
      </c>
      <c r="W23" s="139">
        <v>4006</v>
      </c>
      <c r="X23" s="139">
        <v>4698.04</v>
      </c>
      <c r="Y23" s="139">
        <v>3918</v>
      </c>
      <c r="Z23" s="139">
        <v>3943</v>
      </c>
      <c r="AA23" s="139">
        <v>611</v>
      </c>
      <c r="AB23" s="139">
        <v>1031</v>
      </c>
      <c r="AC23" s="139">
        <v>2527</v>
      </c>
      <c r="AD23" s="139">
        <v>107</v>
      </c>
      <c r="AE23" s="139">
        <v>0</v>
      </c>
      <c r="AF23" s="139">
        <v>2524</v>
      </c>
      <c r="AG23" s="139">
        <v>2713</v>
      </c>
      <c r="AH23" s="139">
        <v>2898</v>
      </c>
      <c r="AI23" s="139">
        <v>3632.1</v>
      </c>
      <c r="AJ23" s="139">
        <v>3061.5</v>
      </c>
      <c r="AK23" s="139">
        <v>1663</v>
      </c>
      <c r="AL23" s="139">
        <v>1684</v>
      </c>
      <c r="AM23" s="139">
        <v>2520</v>
      </c>
      <c r="AN23" s="139">
        <v>1038</v>
      </c>
      <c r="AO23" s="139">
        <v>1822</v>
      </c>
      <c r="AP23" s="139">
        <v>1473</v>
      </c>
      <c r="AQ23" s="139">
        <v>850</v>
      </c>
      <c r="AR23" s="139">
        <v>50.9</v>
      </c>
      <c r="AS23" s="139">
        <v>91</v>
      </c>
      <c r="AT23" s="139">
        <v>90</v>
      </c>
      <c r="AU23" s="139">
        <v>607</v>
      </c>
      <c r="AV23" s="139">
        <v>508</v>
      </c>
      <c r="AW23" s="139">
        <v>0</v>
      </c>
      <c r="AX23" s="139">
        <v>30.3</v>
      </c>
      <c r="AY23" s="139">
        <v>0</v>
      </c>
      <c r="AZ23" s="139">
        <v>491</v>
      </c>
      <c r="BA23" s="139">
        <v>18.7</v>
      </c>
      <c r="BB23" s="139">
        <v>144</v>
      </c>
      <c r="BC23" s="139">
        <v>651.5</v>
      </c>
      <c r="BD23" s="139">
        <v>360</v>
      </c>
      <c r="BE23" s="139">
        <v>22.4</v>
      </c>
      <c r="BF23" s="139">
        <v>302</v>
      </c>
      <c r="BG23" s="139">
        <v>199</v>
      </c>
      <c r="BH23" s="139">
        <v>125</v>
      </c>
      <c r="BI23" s="139">
        <v>242</v>
      </c>
      <c r="BJ23" s="139">
        <v>317</v>
      </c>
      <c r="BK23" s="139">
        <v>47</v>
      </c>
      <c r="BL23" s="139">
        <v>5.1</v>
      </c>
      <c r="BM23" s="139">
        <v>119.1</v>
      </c>
      <c r="BN23" s="139">
        <v>45</v>
      </c>
      <c r="BO23" s="139">
        <v>1.3</v>
      </c>
      <c r="BP23" s="139">
        <v>0</v>
      </c>
      <c r="BQ23" s="139">
        <v>21.4</v>
      </c>
      <c r="BR23" s="139">
        <v>0</v>
      </c>
      <c r="BS23" s="139">
        <v>0</v>
      </c>
      <c r="BT23" s="139"/>
      <c r="BV23" s="89">
        <v>172388.82</v>
      </c>
      <c r="BW23" s="42"/>
      <c r="BX23" s="40"/>
    </row>
    <row r="24" spans="1:76" s="1" customFormat="1" ht="12.75">
      <c r="A24" s="43"/>
      <c r="B24" s="40" t="s">
        <v>497</v>
      </c>
      <c r="C24" s="139">
        <v>86.1</v>
      </c>
      <c r="D24" s="139">
        <v>260.2</v>
      </c>
      <c r="E24" s="139">
        <v>0</v>
      </c>
      <c r="F24" s="139">
        <v>0</v>
      </c>
      <c r="G24" s="139">
        <v>13.68</v>
      </c>
      <c r="H24" s="139">
        <v>142</v>
      </c>
      <c r="I24" s="139">
        <v>247</v>
      </c>
      <c r="J24" s="139">
        <v>0</v>
      </c>
      <c r="K24" s="139">
        <v>134</v>
      </c>
      <c r="L24" s="139">
        <v>0</v>
      </c>
      <c r="M24" s="139">
        <v>288</v>
      </c>
      <c r="N24" s="139">
        <v>661.6</v>
      </c>
      <c r="O24" s="139">
        <v>148</v>
      </c>
      <c r="P24" s="139">
        <v>0</v>
      </c>
      <c r="Q24" s="139">
        <v>2</v>
      </c>
      <c r="R24" s="139">
        <v>8</v>
      </c>
      <c r="S24" s="139">
        <v>106.8</v>
      </c>
      <c r="T24" s="139">
        <v>0.2</v>
      </c>
      <c r="U24" s="139">
        <v>0</v>
      </c>
      <c r="V24" s="139">
        <v>224</v>
      </c>
      <c r="W24" s="139">
        <v>789</v>
      </c>
      <c r="X24" s="139">
        <v>265.36</v>
      </c>
      <c r="Y24" s="139">
        <v>104</v>
      </c>
      <c r="Z24" s="139">
        <v>138</v>
      </c>
      <c r="AA24" s="139">
        <v>2</v>
      </c>
      <c r="AB24" s="139">
        <v>5</v>
      </c>
      <c r="AC24" s="139">
        <v>5</v>
      </c>
      <c r="AD24" s="139">
        <v>0</v>
      </c>
      <c r="AE24" s="139">
        <v>0</v>
      </c>
      <c r="AF24" s="139">
        <v>25</v>
      </c>
      <c r="AG24" s="139">
        <v>147</v>
      </c>
      <c r="AH24" s="139">
        <v>69</v>
      </c>
      <c r="AI24" s="139">
        <v>143.9</v>
      </c>
      <c r="AJ24" s="139">
        <v>38.5</v>
      </c>
      <c r="AK24" s="139">
        <v>50</v>
      </c>
      <c r="AL24" s="139">
        <v>0</v>
      </c>
      <c r="AM24" s="139">
        <v>7</v>
      </c>
      <c r="AN24" s="139">
        <v>0</v>
      </c>
      <c r="AO24" s="139">
        <v>3</v>
      </c>
      <c r="AP24" s="139">
        <v>107</v>
      </c>
      <c r="AQ24" s="139">
        <v>27</v>
      </c>
      <c r="AR24" s="139">
        <v>0.6</v>
      </c>
      <c r="AS24" s="139">
        <v>0</v>
      </c>
      <c r="AT24" s="139">
        <v>0</v>
      </c>
      <c r="AU24" s="139">
        <v>2</v>
      </c>
      <c r="AV24" s="139">
        <v>1</v>
      </c>
      <c r="AW24" s="139">
        <v>0</v>
      </c>
      <c r="AX24" s="139">
        <v>22.9</v>
      </c>
      <c r="AY24" s="139">
        <v>0</v>
      </c>
      <c r="AZ24" s="139">
        <v>0</v>
      </c>
      <c r="BA24" s="139">
        <v>7.7</v>
      </c>
      <c r="BB24" s="139">
        <v>0</v>
      </c>
      <c r="BC24" s="139">
        <v>43.2</v>
      </c>
      <c r="BD24" s="139">
        <v>7</v>
      </c>
      <c r="BE24" s="139">
        <v>36.6</v>
      </c>
      <c r="BF24" s="139">
        <v>3</v>
      </c>
      <c r="BG24" s="139">
        <v>5</v>
      </c>
      <c r="BH24" s="139">
        <v>0</v>
      </c>
      <c r="BI24" s="139">
        <v>0</v>
      </c>
      <c r="BJ24" s="139">
        <v>0</v>
      </c>
      <c r="BK24" s="139">
        <v>0</v>
      </c>
      <c r="BL24" s="139">
        <v>10.5</v>
      </c>
      <c r="BM24" s="139">
        <v>0.3</v>
      </c>
      <c r="BN24" s="139">
        <v>0</v>
      </c>
      <c r="BO24" s="139">
        <v>0</v>
      </c>
      <c r="BP24" s="139">
        <v>5.5</v>
      </c>
      <c r="BQ24" s="139">
        <v>1.6</v>
      </c>
      <c r="BR24" s="139">
        <v>0</v>
      </c>
      <c r="BS24" s="139">
        <v>10</v>
      </c>
      <c r="BT24" s="89"/>
      <c r="BV24" s="89">
        <f t="shared" si="3"/>
        <v>4404.240000000001</v>
      </c>
      <c r="BW24" s="38"/>
      <c r="BX24" s="37"/>
    </row>
    <row r="25" spans="1:76" s="1" customFormat="1" ht="13.5">
      <c r="A25" s="43"/>
      <c r="B25" s="37" t="s">
        <v>492</v>
      </c>
      <c r="C25" s="139">
        <f aca="true" t="shared" si="6" ref="C25:AH25">+C23+C24</f>
        <v>7297.6</v>
      </c>
      <c r="D25" s="139">
        <f t="shared" si="6"/>
        <v>21164.100000000002</v>
      </c>
      <c r="E25" s="139">
        <f t="shared" si="6"/>
        <v>0</v>
      </c>
      <c r="F25" s="139">
        <f t="shared" si="6"/>
        <v>0</v>
      </c>
      <c r="G25" s="139">
        <f t="shared" si="6"/>
        <v>506.56</v>
      </c>
      <c r="H25" s="139">
        <f t="shared" si="6"/>
        <v>29443</v>
      </c>
      <c r="I25" s="139">
        <f t="shared" si="6"/>
        <v>14965</v>
      </c>
      <c r="J25" s="139">
        <f t="shared" si="6"/>
        <v>67</v>
      </c>
      <c r="K25" s="139">
        <f t="shared" si="6"/>
        <v>11988</v>
      </c>
      <c r="L25" s="139">
        <f t="shared" si="6"/>
        <v>21.5</v>
      </c>
      <c r="M25" s="139">
        <f t="shared" si="6"/>
        <v>11544</v>
      </c>
      <c r="N25" s="139">
        <f t="shared" si="6"/>
        <v>7506</v>
      </c>
      <c r="O25" s="139">
        <f t="shared" si="6"/>
        <v>4148</v>
      </c>
      <c r="P25" s="139">
        <f t="shared" si="6"/>
        <v>19</v>
      </c>
      <c r="Q25" s="139">
        <f t="shared" si="6"/>
        <v>3222</v>
      </c>
      <c r="R25" s="139">
        <f t="shared" si="6"/>
        <v>747.3</v>
      </c>
      <c r="S25" s="139">
        <f t="shared" si="6"/>
        <v>6691.1</v>
      </c>
      <c r="T25" s="139">
        <f t="shared" si="6"/>
        <v>81.9</v>
      </c>
      <c r="U25" s="139">
        <f t="shared" si="6"/>
        <v>0</v>
      </c>
      <c r="V25" s="139">
        <f t="shared" si="6"/>
        <v>4090</v>
      </c>
      <c r="W25" s="139">
        <f t="shared" si="6"/>
        <v>4795</v>
      </c>
      <c r="X25" s="139">
        <f t="shared" si="6"/>
        <v>4963.4</v>
      </c>
      <c r="Y25" s="139">
        <f t="shared" si="6"/>
        <v>4022</v>
      </c>
      <c r="Z25" s="139">
        <f t="shared" si="6"/>
        <v>4081</v>
      </c>
      <c r="AA25" s="139">
        <f t="shared" si="6"/>
        <v>613</v>
      </c>
      <c r="AB25" s="139">
        <f t="shared" si="6"/>
        <v>1036</v>
      </c>
      <c r="AC25" s="139">
        <f t="shared" si="6"/>
        <v>2532</v>
      </c>
      <c r="AD25" s="139">
        <f t="shared" si="6"/>
        <v>107</v>
      </c>
      <c r="AE25" s="139">
        <f t="shared" si="6"/>
        <v>0</v>
      </c>
      <c r="AF25" s="139">
        <f t="shared" si="6"/>
        <v>2549</v>
      </c>
      <c r="AG25" s="139">
        <f t="shared" si="6"/>
        <v>2860</v>
      </c>
      <c r="AH25" s="139">
        <f t="shared" si="6"/>
        <v>2967</v>
      </c>
      <c r="AI25" s="139">
        <f aca="true" t="shared" si="7" ref="AI25:BN25">+AI23+AI24</f>
        <v>3776</v>
      </c>
      <c r="AJ25" s="139">
        <f t="shared" si="7"/>
        <v>3100</v>
      </c>
      <c r="AK25" s="139">
        <f t="shared" si="7"/>
        <v>1713</v>
      </c>
      <c r="AL25" s="139">
        <f t="shared" si="7"/>
        <v>1684</v>
      </c>
      <c r="AM25" s="139">
        <f t="shared" si="7"/>
        <v>2527</v>
      </c>
      <c r="AN25" s="139">
        <f t="shared" si="7"/>
        <v>1038</v>
      </c>
      <c r="AO25" s="139">
        <f t="shared" si="7"/>
        <v>1825</v>
      </c>
      <c r="AP25" s="139">
        <f t="shared" si="7"/>
        <v>1580</v>
      </c>
      <c r="AQ25" s="139">
        <f t="shared" si="7"/>
        <v>877</v>
      </c>
      <c r="AR25" s="139">
        <f t="shared" si="7"/>
        <v>51.5</v>
      </c>
      <c r="AS25" s="139">
        <f t="shared" si="7"/>
        <v>91</v>
      </c>
      <c r="AT25" s="139">
        <f t="shared" si="7"/>
        <v>90</v>
      </c>
      <c r="AU25" s="139">
        <f t="shared" si="7"/>
        <v>609</v>
      </c>
      <c r="AV25" s="139">
        <f t="shared" si="7"/>
        <v>509</v>
      </c>
      <c r="AW25" s="139">
        <f t="shared" si="7"/>
        <v>0</v>
      </c>
      <c r="AX25" s="139">
        <f t="shared" si="7"/>
        <v>53.2</v>
      </c>
      <c r="AY25" s="139">
        <f t="shared" si="7"/>
        <v>0</v>
      </c>
      <c r="AZ25" s="139">
        <f t="shared" si="7"/>
        <v>491</v>
      </c>
      <c r="BA25" s="139">
        <f t="shared" si="7"/>
        <v>26.4</v>
      </c>
      <c r="BB25" s="139">
        <f t="shared" si="7"/>
        <v>144</v>
      </c>
      <c r="BC25" s="139">
        <f t="shared" si="7"/>
        <v>694.7</v>
      </c>
      <c r="BD25" s="139">
        <f t="shared" si="7"/>
        <v>367</v>
      </c>
      <c r="BE25" s="139">
        <f t="shared" si="7"/>
        <v>59</v>
      </c>
      <c r="BF25" s="139">
        <f t="shared" si="7"/>
        <v>305</v>
      </c>
      <c r="BG25" s="139">
        <f t="shared" si="7"/>
        <v>204</v>
      </c>
      <c r="BH25" s="139">
        <f t="shared" si="7"/>
        <v>125</v>
      </c>
      <c r="BI25" s="139">
        <f t="shared" si="7"/>
        <v>242</v>
      </c>
      <c r="BJ25" s="139">
        <f t="shared" si="7"/>
        <v>317</v>
      </c>
      <c r="BK25" s="139">
        <f t="shared" si="7"/>
        <v>47</v>
      </c>
      <c r="BL25" s="139">
        <f t="shared" si="7"/>
        <v>15.6</v>
      </c>
      <c r="BM25" s="139">
        <f t="shared" si="7"/>
        <v>119.39999999999999</v>
      </c>
      <c r="BN25" s="139">
        <f t="shared" si="7"/>
        <v>45</v>
      </c>
      <c r="BO25" s="139">
        <f aca="true" t="shared" si="8" ref="BO25:BT25">+BO23+BO24</f>
        <v>1.3</v>
      </c>
      <c r="BP25" s="139">
        <f t="shared" si="8"/>
        <v>5.5</v>
      </c>
      <c r="BQ25" s="139">
        <f t="shared" si="8"/>
        <v>23</v>
      </c>
      <c r="BR25" s="139">
        <f t="shared" si="8"/>
        <v>0</v>
      </c>
      <c r="BS25" s="139">
        <f t="shared" si="8"/>
        <v>10</v>
      </c>
      <c r="BT25" s="139">
        <f t="shared" si="8"/>
        <v>0</v>
      </c>
      <c r="BV25" s="89">
        <f t="shared" si="3"/>
        <v>176793.06000000003</v>
      </c>
      <c r="BW25" s="42"/>
      <c r="BX25" s="44"/>
    </row>
    <row r="26" spans="1:76" s="1" customFormat="1" ht="13.5">
      <c r="A26" s="38"/>
      <c r="B26" s="40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V26" s="89"/>
      <c r="BW26" s="38"/>
      <c r="BX26" s="44"/>
    </row>
    <row r="27" spans="1:76" s="1" customFormat="1" ht="13.5">
      <c r="A27" s="43"/>
      <c r="B27" s="44" t="s">
        <v>498</v>
      </c>
      <c r="C27" s="89">
        <f aca="true" t="shared" si="9" ref="C27:AH27">+C12+C20+C25</f>
        <v>23752.9</v>
      </c>
      <c r="D27" s="89">
        <f t="shared" si="9"/>
        <v>89028.7</v>
      </c>
      <c r="E27" s="89">
        <f t="shared" si="9"/>
        <v>56.6</v>
      </c>
      <c r="F27" s="89">
        <f t="shared" si="9"/>
        <v>0</v>
      </c>
      <c r="G27" s="89">
        <f t="shared" si="9"/>
        <v>1336.9</v>
      </c>
      <c r="H27" s="89">
        <f t="shared" si="9"/>
        <v>99594</v>
      </c>
      <c r="I27" s="89">
        <f t="shared" si="9"/>
        <v>51725</v>
      </c>
      <c r="J27" s="89">
        <f t="shared" si="9"/>
        <v>252</v>
      </c>
      <c r="K27" s="89">
        <f t="shared" si="9"/>
        <v>45941</v>
      </c>
      <c r="L27" s="89">
        <f t="shared" si="9"/>
        <v>57.199999999999996</v>
      </c>
      <c r="M27" s="89">
        <f t="shared" si="9"/>
        <v>48149</v>
      </c>
      <c r="N27" s="89">
        <f t="shared" si="9"/>
        <v>25933.9</v>
      </c>
      <c r="O27" s="89">
        <f t="shared" si="9"/>
        <v>23036</v>
      </c>
      <c r="P27" s="89">
        <f t="shared" si="9"/>
        <v>59</v>
      </c>
      <c r="Q27" s="89">
        <f t="shared" si="9"/>
        <v>18749</v>
      </c>
      <c r="R27" s="89">
        <f t="shared" si="9"/>
        <v>1823.6999999999998</v>
      </c>
      <c r="S27" s="89">
        <f t="shared" si="9"/>
        <v>15480.2</v>
      </c>
      <c r="T27" s="89">
        <f t="shared" si="9"/>
        <v>531.6</v>
      </c>
      <c r="U27" s="89">
        <f t="shared" si="9"/>
        <v>0</v>
      </c>
      <c r="V27" s="89">
        <f t="shared" si="9"/>
        <v>18687</v>
      </c>
      <c r="W27" s="89">
        <f t="shared" si="9"/>
        <v>17171</v>
      </c>
      <c r="X27" s="89">
        <f t="shared" si="9"/>
        <v>12899.099999999999</v>
      </c>
      <c r="Y27" s="89">
        <f t="shared" si="9"/>
        <v>12810</v>
      </c>
      <c r="Z27" s="89">
        <f t="shared" si="9"/>
        <v>12411</v>
      </c>
      <c r="AA27" s="89">
        <f t="shared" si="9"/>
        <v>1722</v>
      </c>
      <c r="AB27" s="89">
        <f t="shared" si="9"/>
        <v>2582</v>
      </c>
      <c r="AC27" s="89">
        <f t="shared" si="9"/>
        <v>7400</v>
      </c>
      <c r="AD27" s="89">
        <f t="shared" si="9"/>
        <v>599</v>
      </c>
      <c r="AE27" s="89">
        <f t="shared" si="9"/>
        <v>0</v>
      </c>
      <c r="AF27" s="89">
        <f t="shared" si="9"/>
        <v>11616</v>
      </c>
      <c r="AG27" s="89">
        <f t="shared" si="9"/>
        <v>11412</v>
      </c>
      <c r="AH27" s="89">
        <f t="shared" si="9"/>
        <v>11218</v>
      </c>
      <c r="AI27" s="89">
        <f aca="true" t="shared" si="10" ref="AI27:BN27">+AI12+AI20+AI25</f>
        <v>10158</v>
      </c>
      <c r="AJ27" s="89">
        <f t="shared" si="10"/>
        <v>10379.4</v>
      </c>
      <c r="AK27" s="89">
        <f t="shared" si="10"/>
        <v>7762</v>
      </c>
      <c r="AL27" s="89">
        <f t="shared" si="10"/>
        <v>7746</v>
      </c>
      <c r="AM27" s="89">
        <f t="shared" si="10"/>
        <v>6617</v>
      </c>
      <c r="AN27" s="89">
        <f t="shared" si="10"/>
        <v>6328</v>
      </c>
      <c r="AO27" s="89">
        <f t="shared" si="10"/>
        <v>5938</v>
      </c>
      <c r="AP27" s="89">
        <f t="shared" si="10"/>
        <v>4929</v>
      </c>
      <c r="AQ27" s="89">
        <f t="shared" si="10"/>
        <v>4560.6</v>
      </c>
      <c r="AR27" s="89">
        <f t="shared" si="10"/>
        <v>178.9</v>
      </c>
      <c r="AS27" s="89">
        <f t="shared" si="10"/>
        <v>265</v>
      </c>
      <c r="AT27" s="89">
        <f t="shared" si="10"/>
        <v>398</v>
      </c>
      <c r="AU27" s="89">
        <f t="shared" si="10"/>
        <v>1700</v>
      </c>
      <c r="AV27" s="89">
        <f t="shared" si="10"/>
        <v>980</v>
      </c>
      <c r="AW27" s="89">
        <f t="shared" si="10"/>
        <v>0</v>
      </c>
      <c r="AX27" s="89">
        <f t="shared" si="10"/>
        <v>3000.5999999999995</v>
      </c>
      <c r="AY27" s="89">
        <f t="shared" si="10"/>
        <v>2514</v>
      </c>
      <c r="AZ27" s="89">
        <f t="shared" si="10"/>
        <v>2598</v>
      </c>
      <c r="BA27" s="89">
        <f t="shared" si="10"/>
        <v>1504.8000000000002</v>
      </c>
      <c r="BB27" s="89">
        <f t="shared" si="10"/>
        <v>2110</v>
      </c>
      <c r="BC27" s="89">
        <f t="shared" si="10"/>
        <v>1515.4</v>
      </c>
      <c r="BD27" s="89">
        <f t="shared" si="10"/>
        <v>1391</v>
      </c>
      <c r="BE27" s="89">
        <f t="shared" si="10"/>
        <v>934.0999999999999</v>
      </c>
      <c r="BF27" s="89">
        <f t="shared" si="10"/>
        <v>1350</v>
      </c>
      <c r="BG27" s="89">
        <f t="shared" si="10"/>
        <v>1234</v>
      </c>
      <c r="BH27" s="89">
        <f t="shared" si="10"/>
        <v>1246</v>
      </c>
      <c r="BI27" s="89">
        <f t="shared" si="10"/>
        <v>1097.2</v>
      </c>
      <c r="BJ27" s="89">
        <f t="shared" si="10"/>
        <v>787</v>
      </c>
      <c r="BK27" s="89">
        <f t="shared" si="10"/>
        <v>634</v>
      </c>
      <c r="BL27" s="89">
        <f t="shared" si="10"/>
        <v>364.29</v>
      </c>
      <c r="BM27" s="89">
        <f t="shared" si="10"/>
        <v>438.1</v>
      </c>
      <c r="BN27" s="89">
        <f t="shared" si="10"/>
        <v>478</v>
      </c>
      <c r="BO27" s="89">
        <f aca="true" t="shared" si="11" ref="BO27:BT27">+BO12+BO20+BO25</f>
        <v>427.6</v>
      </c>
      <c r="BP27" s="89">
        <f t="shared" si="11"/>
        <v>287.8</v>
      </c>
      <c r="BQ27" s="89">
        <f t="shared" si="11"/>
        <v>157.1</v>
      </c>
      <c r="BR27" s="89">
        <f t="shared" si="11"/>
        <v>67</v>
      </c>
      <c r="BS27" s="89">
        <f t="shared" si="11"/>
        <v>19.7</v>
      </c>
      <c r="BT27" s="89">
        <f t="shared" si="11"/>
        <v>0</v>
      </c>
      <c r="BV27" s="89">
        <f t="shared" si="3"/>
        <v>658129.39</v>
      </c>
      <c r="BW27" s="38"/>
      <c r="BX27" s="37"/>
    </row>
    <row r="28" spans="1:76" s="1" customFormat="1" ht="21.75" customHeight="1">
      <c r="A28" s="38"/>
      <c r="B28" s="44" t="s">
        <v>499</v>
      </c>
      <c r="C28" s="139">
        <v>3984.2</v>
      </c>
      <c r="D28" s="139">
        <v>11064</v>
      </c>
      <c r="E28" s="139">
        <v>0</v>
      </c>
      <c r="F28" s="139">
        <v>0</v>
      </c>
      <c r="G28" s="139">
        <v>381.44</v>
      </c>
      <c r="H28" s="139">
        <v>16743</v>
      </c>
      <c r="I28" s="139">
        <v>6402</v>
      </c>
      <c r="J28" s="139">
        <v>67</v>
      </c>
      <c r="K28" s="139">
        <v>5543</v>
      </c>
      <c r="L28" s="139">
        <v>4</v>
      </c>
      <c r="M28" s="139">
        <v>11014</v>
      </c>
      <c r="N28" s="139">
        <v>4205</v>
      </c>
      <c r="O28" s="139">
        <v>2353</v>
      </c>
      <c r="P28" s="139">
        <v>11</v>
      </c>
      <c r="Q28" s="139">
        <v>4102</v>
      </c>
      <c r="R28" s="139">
        <v>1837.6</v>
      </c>
      <c r="S28" s="139">
        <v>5228.1</v>
      </c>
      <c r="T28" s="139">
        <v>55.3</v>
      </c>
      <c r="U28" s="139">
        <v>0</v>
      </c>
      <c r="V28" s="139">
        <v>2712</v>
      </c>
      <c r="W28" s="139">
        <v>336</v>
      </c>
      <c r="X28" s="139">
        <v>4211.47</v>
      </c>
      <c r="Y28" s="139">
        <v>2389</v>
      </c>
      <c r="Z28" s="139">
        <v>2090</v>
      </c>
      <c r="AA28" s="139">
        <v>469</v>
      </c>
      <c r="AB28" s="139">
        <v>827</v>
      </c>
      <c r="AC28" s="139">
        <v>1902</v>
      </c>
      <c r="AD28" s="139">
        <v>82</v>
      </c>
      <c r="AE28" s="139">
        <v>0</v>
      </c>
      <c r="AF28" s="139">
        <v>2280</v>
      </c>
      <c r="AG28" s="139">
        <v>2252</v>
      </c>
      <c r="AH28" s="139">
        <v>1997</v>
      </c>
      <c r="AI28" s="139">
        <v>1614</v>
      </c>
      <c r="AJ28" s="139">
        <v>1623.7</v>
      </c>
      <c r="AK28" s="139">
        <v>744</v>
      </c>
      <c r="AL28" s="139">
        <v>1423</v>
      </c>
      <c r="AM28" s="139">
        <v>1723</v>
      </c>
      <c r="AN28" s="139">
        <v>122</v>
      </c>
      <c r="AO28" s="139">
        <v>1153</v>
      </c>
      <c r="AP28" s="139">
        <v>1384</v>
      </c>
      <c r="AQ28" s="139">
        <v>595</v>
      </c>
      <c r="AR28" s="139">
        <v>33.8</v>
      </c>
      <c r="AS28" s="139">
        <v>63</v>
      </c>
      <c r="AT28" s="139">
        <v>61</v>
      </c>
      <c r="AU28" s="139">
        <v>427</v>
      </c>
      <c r="AV28" s="139">
        <v>396</v>
      </c>
      <c r="AW28" s="139">
        <v>0</v>
      </c>
      <c r="AX28" s="139">
        <v>38</v>
      </c>
      <c r="AY28" s="139">
        <v>0</v>
      </c>
      <c r="AZ28" s="139">
        <v>117</v>
      </c>
      <c r="BA28" s="139">
        <v>1.6</v>
      </c>
      <c r="BB28" s="139">
        <v>94</v>
      </c>
      <c r="BC28" s="139">
        <v>596</v>
      </c>
      <c r="BD28" s="139">
        <v>339</v>
      </c>
      <c r="BE28" s="139">
        <v>57.4</v>
      </c>
      <c r="BF28" s="139">
        <v>156</v>
      </c>
      <c r="BG28" s="139">
        <v>212</v>
      </c>
      <c r="BH28" s="139">
        <v>99</v>
      </c>
      <c r="BI28" s="139">
        <v>131</v>
      </c>
      <c r="BJ28" s="139">
        <v>204</v>
      </c>
      <c r="BK28" s="139">
        <v>21</v>
      </c>
      <c r="BL28" s="139">
        <v>15.6</v>
      </c>
      <c r="BM28" s="139">
        <v>91.2</v>
      </c>
      <c r="BN28" s="139">
        <v>30</v>
      </c>
      <c r="BO28" s="139">
        <v>0</v>
      </c>
      <c r="BP28" s="139">
        <v>3.5</v>
      </c>
      <c r="BQ28" s="139">
        <v>4.7</v>
      </c>
      <c r="BR28" s="139">
        <v>0</v>
      </c>
      <c r="BS28" s="139">
        <v>0</v>
      </c>
      <c r="BT28" s="89"/>
      <c r="BV28" s="89">
        <f t="shared" si="3"/>
        <v>108115.61000000002</v>
      </c>
      <c r="BW28" s="83"/>
      <c r="BX28" s="84"/>
    </row>
    <row r="29" spans="1:76" s="1" customFormat="1" ht="13.5">
      <c r="A29" s="43"/>
      <c r="B29" s="44" t="s">
        <v>501</v>
      </c>
      <c r="C29" s="139">
        <v>845.2</v>
      </c>
      <c r="D29" s="139">
        <v>2108</v>
      </c>
      <c r="E29" s="139">
        <v>0</v>
      </c>
      <c r="F29" s="139">
        <v>0</v>
      </c>
      <c r="G29" s="139">
        <v>19.2</v>
      </c>
      <c r="H29" s="139">
        <v>10453</v>
      </c>
      <c r="I29" s="139">
        <v>4307</v>
      </c>
      <c r="J29" s="139">
        <v>0</v>
      </c>
      <c r="K29" s="139">
        <v>3962</v>
      </c>
      <c r="L29" s="139">
        <v>0.4</v>
      </c>
      <c r="M29" s="139">
        <v>3327</v>
      </c>
      <c r="N29" s="139">
        <v>2468</v>
      </c>
      <c r="O29" s="139">
        <v>772</v>
      </c>
      <c r="P29" s="139">
        <v>0</v>
      </c>
      <c r="Q29" s="139">
        <v>2502</v>
      </c>
      <c r="R29" s="139">
        <v>130.7</v>
      </c>
      <c r="S29" s="139">
        <v>1124.6</v>
      </c>
      <c r="T29" s="139">
        <v>5.8</v>
      </c>
      <c r="U29" s="139">
        <v>0</v>
      </c>
      <c r="V29" s="139">
        <v>1357</v>
      </c>
      <c r="W29" s="139">
        <v>1407</v>
      </c>
      <c r="X29" s="139">
        <v>1735.88</v>
      </c>
      <c r="Y29" s="139">
        <v>774</v>
      </c>
      <c r="Z29" s="139">
        <v>1330</v>
      </c>
      <c r="AA29" s="139">
        <v>84</v>
      </c>
      <c r="AB29" s="139">
        <v>111</v>
      </c>
      <c r="AC29" s="139">
        <v>373</v>
      </c>
      <c r="AD29" s="139">
        <v>36</v>
      </c>
      <c r="AE29" s="139">
        <v>0</v>
      </c>
      <c r="AF29" s="139">
        <v>271</v>
      </c>
      <c r="AG29" s="139">
        <v>1046</v>
      </c>
      <c r="AH29" s="139">
        <v>929</v>
      </c>
      <c r="AI29" s="139">
        <v>750.3</v>
      </c>
      <c r="AJ29" s="139">
        <v>536.9</v>
      </c>
      <c r="AK29" s="139">
        <v>1065</v>
      </c>
      <c r="AL29" s="139">
        <v>440</v>
      </c>
      <c r="AM29" s="139">
        <v>350</v>
      </c>
      <c r="AN29" s="139">
        <v>1866</v>
      </c>
      <c r="AO29" s="139">
        <v>165</v>
      </c>
      <c r="AP29" s="139">
        <v>519</v>
      </c>
      <c r="AQ29" s="139">
        <v>185</v>
      </c>
      <c r="AR29" s="139">
        <v>1.55</v>
      </c>
      <c r="AS29" s="139">
        <v>22</v>
      </c>
      <c r="AT29" s="139">
        <v>40</v>
      </c>
      <c r="AU29" s="139">
        <v>138</v>
      </c>
      <c r="AV29" s="139">
        <v>46</v>
      </c>
      <c r="AW29" s="139">
        <v>0</v>
      </c>
      <c r="AX29" s="139">
        <v>45</v>
      </c>
      <c r="AY29" s="139">
        <v>142</v>
      </c>
      <c r="AZ29" s="139">
        <v>491</v>
      </c>
      <c r="BA29" s="139">
        <v>1140.5</v>
      </c>
      <c r="BB29" s="139">
        <v>121</v>
      </c>
      <c r="BC29" s="139">
        <v>218.8</v>
      </c>
      <c r="BD29" s="139">
        <v>175</v>
      </c>
      <c r="BE29" s="139">
        <v>189.6</v>
      </c>
      <c r="BF29" s="139">
        <v>43</v>
      </c>
      <c r="BG29" s="139">
        <v>96</v>
      </c>
      <c r="BH29" s="139">
        <v>54</v>
      </c>
      <c r="BI29" s="139">
        <v>210.4</v>
      </c>
      <c r="BJ29" s="139">
        <v>83</v>
      </c>
      <c r="BK29" s="139">
        <v>76</v>
      </c>
      <c r="BL29" s="139">
        <v>209.7</v>
      </c>
      <c r="BM29" s="139">
        <v>88.1</v>
      </c>
      <c r="BN29" s="139">
        <v>14</v>
      </c>
      <c r="BO29" s="139">
        <v>34.7</v>
      </c>
      <c r="BP29" s="139">
        <v>104.8</v>
      </c>
      <c r="BQ29" s="139">
        <v>5.8</v>
      </c>
      <c r="BR29" s="139">
        <v>0</v>
      </c>
      <c r="BS29" s="139">
        <v>10</v>
      </c>
      <c r="BT29" s="89"/>
      <c r="BV29" s="89">
        <f t="shared" si="3"/>
        <v>51155.93000000001</v>
      </c>
      <c r="BW29" s="45"/>
      <c r="BX29" s="85"/>
    </row>
    <row r="30" spans="1:76" s="1" customFormat="1" ht="13.5">
      <c r="A30" s="43"/>
      <c r="B30" s="44" t="s">
        <v>500</v>
      </c>
      <c r="C30" s="139">
        <v>1637.7</v>
      </c>
      <c r="D30" s="139">
        <v>5373.9</v>
      </c>
      <c r="E30" s="139">
        <v>0</v>
      </c>
      <c r="F30" s="139">
        <v>0</v>
      </c>
      <c r="G30" s="139">
        <v>908.96</v>
      </c>
      <c r="H30" s="139">
        <v>11382</v>
      </c>
      <c r="I30" s="139">
        <v>2498</v>
      </c>
      <c r="J30" s="139">
        <v>15</v>
      </c>
      <c r="K30" s="139">
        <v>3365</v>
      </c>
      <c r="L30" s="139">
        <v>51.2</v>
      </c>
      <c r="M30" s="139">
        <v>6038</v>
      </c>
      <c r="N30" s="139">
        <v>2910.7</v>
      </c>
      <c r="O30" s="139">
        <v>2725</v>
      </c>
      <c r="P30" s="139">
        <v>69</v>
      </c>
      <c r="Q30" s="139">
        <v>10975</v>
      </c>
      <c r="R30" s="139">
        <v>1377.4</v>
      </c>
      <c r="S30" s="139">
        <v>4429.3</v>
      </c>
      <c r="T30" s="139">
        <v>525</v>
      </c>
      <c r="U30" s="139">
        <v>0</v>
      </c>
      <c r="V30" s="139">
        <v>1532</v>
      </c>
      <c r="W30" s="139">
        <v>316</v>
      </c>
      <c r="X30" s="139">
        <v>4443.2</v>
      </c>
      <c r="Y30" s="139">
        <v>6948</v>
      </c>
      <c r="Z30" s="139">
        <v>903</v>
      </c>
      <c r="AA30" s="139">
        <v>1533</v>
      </c>
      <c r="AB30" s="139">
        <v>2152</v>
      </c>
      <c r="AC30" s="139">
        <v>6755</v>
      </c>
      <c r="AD30" s="139">
        <v>533</v>
      </c>
      <c r="AE30" s="139">
        <v>0</v>
      </c>
      <c r="AF30" s="139">
        <v>249</v>
      </c>
      <c r="AG30" s="139">
        <v>6093</v>
      </c>
      <c r="AH30" s="139">
        <v>6127</v>
      </c>
      <c r="AI30" s="139">
        <v>920.6</v>
      </c>
      <c r="AJ30" s="139">
        <v>881.4</v>
      </c>
      <c r="AK30" s="139">
        <v>422</v>
      </c>
      <c r="AL30" s="139">
        <v>4677</v>
      </c>
      <c r="AM30" s="139">
        <v>5176</v>
      </c>
      <c r="AN30" s="139">
        <v>49</v>
      </c>
      <c r="AO30" s="139">
        <v>5547</v>
      </c>
      <c r="AP30" s="139">
        <v>2451</v>
      </c>
      <c r="AQ30" s="139">
        <v>2027.8</v>
      </c>
      <c r="AR30" s="139">
        <v>135.2</v>
      </c>
      <c r="AS30" s="139">
        <v>269</v>
      </c>
      <c r="AT30" s="139">
        <v>411</v>
      </c>
      <c r="AU30" s="139">
        <v>1710</v>
      </c>
      <c r="AV30" s="139">
        <v>978</v>
      </c>
      <c r="AW30" s="139">
        <v>0</v>
      </c>
      <c r="AX30" s="139">
        <v>244</v>
      </c>
      <c r="AY30" s="139">
        <v>2404</v>
      </c>
      <c r="AZ30" s="139">
        <v>105</v>
      </c>
      <c r="BA30" s="139">
        <v>0</v>
      </c>
      <c r="BB30" s="139">
        <v>1358</v>
      </c>
      <c r="BC30" s="139">
        <v>781.9</v>
      </c>
      <c r="BD30" s="139">
        <v>603.8</v>
      </c>
      <c r="BE30" s="139">
        <v>0</v>
      </c>
      <c r="BF30" s="139">
        <v>1142</v>
      </c>
      <c r="BG30" s="139">
        <v>164</v>
      </c>
      <c r="BH30" s="139">
        <v>959</v>
      </c>
      <c r="BI30" s="139">
        <v>288.9</v>
      </c>
      <c r="BJ30" s="139">
        <v>455</v>
      </c>
      <c r="BK30" s="139">
        <v>359</v>
      </c>
      <c r="BL30" s="139">
        <v>0</v>
      </c>
      <c r="BM30" s="139">
        <v>115</v>
      </c>
      <c r="BN30" s="139">
        <v>397</v>
      </c>
      <c r="BO30" s="139">
        <v>0</v>
      </c>
      <c r="BP30" s="139">
        <v>60.7</v>
      </c>
      <c r="BQ30" s="139">
        <v>37</v>
      </c>
      <c r="BR30" s="139">
        <v>0</v>
      </c>
      <c r="BS30" s="139">
        <v>0</v>
      </c>
      <c r="BT30" s="89"/>
      <c r="BV30" s="89">
        <f t="shared" si="3"/>
        <v>126994.65999999999</v>
      </c>
      <c r="BW30" s="45"/>
      <c r="BX30" s="85"/>
    </row>
    <row r="31" spans="1:76" s="1" customFormat="1" ht="13.5">
      <c r="A31" s="40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89"/>
      <c r="BV31" s="89"/>
      <c r="BW31" s="45"/>
      <c r="BX31" s="85"/>
    </row>
    <row r="32" spans="1:76" s="1" customFormat="1" ht="13.5">
      <c r="A32" s="45"/>
      <c r="B32" s="45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89"/>
      <c r="BV32" s="89"/>
      <c r="BW32" s="45"/>
      <c r="BX32" s="85"/>
    </row>
    <row r="33" spans="1:76" s="1" customFormat="1" ht="13.5">
      <c r="A33" s="45"/>
      <c r="B33" s="45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89"/>
      <c r="BV33" s="89"/>
      <c r="BW33" s="45"/>
      <c r="BX33" s="85"/>
    </row>
    <row r="34" spans="1:76" s="1" customFormat="1" ht="13.5">
      <c r="A34" s="45"/>
      <c r="B34" s="45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89"/>
      <c r="BV34" s="89"/>
      <c r="BW34" s="45"/>
      <c r="BX34" s="85"/>
    </row>
    <row r="35" spans="1:76" s="1" customFormat="1" ht="13.5">
      <c r="A35" s="45"/>
      <c r="B35" s="45"/>
      <c r="C35" s="139"/>
      <c r="D35" s="139"/>
      <c r="E35" s="139"/>
      <c r="F35" s="139"/>
      <c r="G35" s="8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V35" s="89"/>
      <c r="BW35" s="45"/>
      <c r="BX35" s="85"/>
    </row>
    <row r="36" spans="1:76" s="1" customFormat="1" ht="13.5">
      <c r="A36" s="45"/>
      <c r="B36" s="45"/>
      <c r="C36" s="139"/>
      <c r="D36" s="139"/>
      <c r="E36" s="139"/>
      <c r="F36" s="139"/>
      <c r="G36" s="8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V36" s="89"/>
      <c r="BW36" s="45"/>
      <c r="BX36" s="85"/>
    </row>
    <row r="37" spans="1:76" s="1" customFormat="1" ht="13.5">
      <c r="A37" s="45"/>
      <c r="B37" s="45"/>
      <c r="C37" s="139"/>
      <c r="D37" s="139"/>
      <c r="E37" s="139"/>
      <c r="F37" s="139"/>
      <c r="G37" s="8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V37" s="89"/>
      <c r="BW37" s="45"/>
      <c r="BX37" s="85"/>
    </row>
    <row r="38" spans="1:76" s="1" customFormat="1" ht="13.5">
      <c r="A38" s="45"/>
      <c r="B38" s="45"/>
      <c r="C38" s="139"/>
      <c r="D38" s="139"/>
      <c r="E38" s="139"/>
      <c r="F38" s="139"/>
      <c r="G38" s="8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V38" s="89"/>
      <c r="BW38" s="45"/>
      <c r="BX38" s="85"/>
    </row>
    <row r="39" spans="1:76" s="1" customFormat="1" ht="13.5">
      <c r="A39" s="45"/>
      <c r="B39" s="45"/>
      <c r="C39" s="139"/>
      <c r="D39" s="139"/>
      <c r="E39" s="139"/>
      <c r="F39" s="139"/>
      <c r="G39" s="8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V39" s="89"/>
      <c r="BW39" s="45"/>
      <c r="BX39" s="85"/>
    </row>
    <row r="40" spans="1:76" s="1" customFormat="1" ht="13.5">
      <c r="A40" s="45"/>
      <c r="B40" s="45"/>
      <c r="C40" s="139"/>
      <c r="D40" s="139"/>
      <c r="E40" s="139"/>
      <c r="F40" s="139"/>
      <c r="G40" s="8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V40" s="89"/>
      <c r="BW40" s="45"/>
      <c r="BX40" s="85"/>
    </row>
    <row r="41" spans="1:76" s="1" customFormat="1" ht="13.5">
      <c r="A41" s="45"/>
      <c r="B41" s="45"/>
      <c r="C41" s="139"/>
      <c r="D41" s="139"/>
      <c r="E41" s="139"/>
      <c r="F41" s="139"/>
      <c r="G41" s="8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V41" s="89"/>
      <c r="BW41" s="45"/>
      <c r="BX41" s="85"/>
    </row>
  </sheetData>
  <mergeCells count="31">
    <mergeCell ref="R1:U1"/>
    <mergeCell ref="C2:G2"/>
    <mergeCell ref="I2:J2"/>
    <mergeCell ref="K2:L2"/>
    <mergeCell ref="O2:P2"/>
    <mergeCell ref="R2:U2"/>
    <mergeCell ref="C1:G1"/>
    <mergeCell ref="I1:J1"/>
    <mergeCell ref="K1:L1"/>
    <mergeCell ref="O1:P1"/>
    <mergeCell ref="I3:J3"/>
    <mergeCell ref="K3:L3"/>
    <mergeCell ref="O3:P3"/>
    <mergeCell ref="R3:U3"/>
    <mergeCell ref="R4:U4"/>
    <mergeCell ref="C4:G4"/>
    <mergeCell ref="I4:J4"/>
    <mergeCell ref="K4:L4"/>
    <mergeCell ref="O4:P4"/>
    <mergeCell ref="AA1:AE1"/>
    <mergeCell ref="AA2:AE2"/>
    <mergeCell ref="AA3:AE3"/>
    <mergeCell ref="AA4:AE4"/>
    <mergeCell ref="AQ1:AR1"/>
    <mergeCell ref="AQ2:AR2"/>
    <mergeCell ref="AQ3:AR3"/>
    <mergeCell ref="AQ4:AR4"/>
    <mergeCell ref="AS1:AW1"/>
    <mergeCell ref="AS2:AW2"/>
    <mergeCell ref="AS3:AW3"/>
    <mergeCell ref="AS4:AW4"/>
  </mergeCells>
  <printOptions/>
  <pageMargins left="0.4724409448818898" right="0.1968503937007874" top="0.984251968503937" bottom="0.3937007874015748" header="0.5118110236220472" footer="0.5118110236220472"/>
  <pageSetup firstPageNumber="76" useFirstPageNumber="1" horizontalDpi="600" verticalDpi="600" orientation="landscape" paperSize="9" r:id="rId1"/>
  <headerFooter alignWithMargins="0">
    <oddHeader>&amp;C&amp;"Times New Roman,Bold"&amp;14 6.1. SPECIFICATION OF INVESTMENTS AS OF 31 DEC. 2002 IN ACCORDANCE WITH ACT 129/1997</oddHeader>
    <oddFooter>&amp;R&amp;"Times New Roman,Regular"&amp;9&amp;P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H22" sqref="H22"/>
    </sheetView>
  </sheetViews>
  <sheetFormatPr defaultColWidth="9.140625" defaultRowHeight="12.75"/>
  <cols>
    <col min="1" max="1" width="39.421875" style="167" customWidth="1"/>
    <col min="2" max="2" width="11.140625" style="167" customWidth="1"/>
    <col min="3" max="9" width="11.140625" style="175" customWidth="1"/>
  </cols>
  <sheetData>
    <row r="2" spans="2:9" ht="15.75">
      <c r="B2" s="296" t="s">
        <v>445</v>
      </c>
      <c r="C2" s="296"/>
      <c r="D2" s="294" t="s">
        <v>366</v>
      </c>
      <c r="E2" s="294"/>
      <c r="F2" s="294" t="s">
        <v>503</v>
      </c>
      <c r="G2" s="294"/>
      <c r="H2" s="294" t="s">
        <v>521</v>
      </c>
      <c r="I2" s="294"/>
    </row>
    <row r="3" spans="2:9" ht="12.75">
      <c r="B3" s="169">
        <v>37621</v>
      </c>
      <c r="C3" s="170">
        <v>37256</v>
      </c>
      <c r="D3" s="180">
        <v>2002</v>
      </c>
      <c r="E3" s="180">
        <v>2001</v>
      </c>
      <c r="F3" s="180">
        <v>2002</v>
      </c>
      <c r="G3" s="180">
        <v>2001</v>
      </c>
      <c r="H3" s="170">
        <v>37621</v>
      </c>
      <c r="I3" s="170">
        <v>37256</v>
      </c>
    </row>
    <row r="4" spans="2:7" ht="11.25" customHeight="1">
      <c r="B4" s="169"/>
      <c r="C4" s="170"/>
      <c r="D4" s="180"/>
      <c r="E4" s="180"/>
      <c r="F4" s="180"/>
      <c r="G4" s="180"/>
    </row>
    <row r="5" spans="1:9" ht="41.25" customHeight="1">
      <c r="A5" s="186" t="s">
        <v>504</v>
      </c>
      <c r="B5" s="89">
        <v>44254901</v>
      </c>
      <c r="C5" s="42">
        <v>39346115</v>
      </c>
      <c r="D5" s="183">
        <v>6251877</v>
      </c>
      <c r="E5" s="183">
        <v>4728349</v>
      </c>
      <c r="F5" s="183">
        <v>623333</v>
      </c>
      <c r="G5" s="183">
        <v>522244</v>
      </c>
      <c r="H5" s="42">
        <v>60346</v>
      </c>
      <c r="I5" s="42">
        <v>52399</v>
      </c>
    </row>
    <row r="6" spans="1:9" ht="15" customHeight="1">
      <c r="A6" s="167" t="s">
        <v>505</v>
      </c>
      <c r="B6" s="184">
        <v>5617533</v>
      </c>
      <c r="C6" s="183">
        <v>3446916</v>
      </c>
      <c r="D6" s="183">
        <v>2260522</v>
      </c>
      <c r="E6" s="183">
        <v>1494631</v>
      </c>
      <c r="F6" s="183">
        <v>64208</v>
      </c>
      <c r="G6" s="183">
        <v>36092</v>
      </c>
      <c r="H6" s="42">
        <v>73406</v>
      </c>
      <c r="I6" s="42">
        <v>23322</v>
      </c>
    </row>
    <row r="7" spans="1:9" s="177" customFormat="1" ht="16.5" customHeight="1">
      <c r="A7" s="167" t="s">
        <v>506</v>
      </c>
      <c r="B7" s="184">
        <v>9061627</v>
      </c>
      <c r="C7" s="183">
        <v>5526000</v>
      </c>
      <c r="D7" s="183">
        <v>5694367</v>
      </c>
      <c r="E7" s="183">
        <v>3487590</v>
      </c>
      <c r="F7" s="183">
        <v>63442</v>
      </c>
      <c r="G7" s="183">
        <v>17513</v>
      </c>
      <c r="H7" s="42">
        <v>52268</v>
      </c>
      <c r="I7" s="42">
        <v>36006</v>
      </c>
    </row>
    <row r="8" spans="1:9" s="181" customFormat="1" ht="19.5" customHeight="1">
      <c r="A8" s="171" t="s">
        <v>507</v>
      </c>
      <c r="B8" s="185">
        <f aca="true" t="shared" si="0" ref="B8:I8">SUM(B5:B7)</f>
        <v>58934061</v>
      </c>
      <c r="C8" s="185">
        <f t="shared" si="0"/>
        <v>48319031</v>
      </c>
      <c r="D8" s="185">
        <f t="shared" si="0"/>
        <v>14206766</v>
      </c>
      <c r="E8" s="185">
        <f t="shared" si="0"/>
        <v>9710570</v>
      </c>
      <c r="F8" s="185">
        <f t="shared" si="0"/>
        <v>750983</v>
      </c>
      <c r="G8" s="185">
        <f t="shared" si="0"/>
        <v>575849</v>
      </c>
      <c r="H8" s="185">
        <f t="shared" si="0"/>
        <v>186020</v>
      </c>
      <c r="I8" s="185">
        <f t="shared" si="0"/>
        <v>111727</v>
      </c>
    </row>
    <row r="9" spans="1:7" ht="12.75">
      <c r="A9" s="171"/>
      <c r="B9" s="172"/>
      <c r="C9" s="173"/>
      <c r="D9" s="173"/>
      <c r="E9" s="173"/>
      <c r="F9" s="173"/>
      <c r="G9" s="173"/>
    </row>
    <row r="10" spans="1:7" ht="12.75">
      <c r="A10" s="174"/>
      <c r="B10" s="184"/>
      <c r="C10" s="178"/>
      <c r="D10" s="173"/>
      <c r="E10" s="173"/>
      <c r="F10" s="173"/>
      <c r="G10" s="173"/>
    </row>
    <row r="11" spans="1:3" ht="15.75" customHeight="1">
      <c r="A11" s="187"/>
      <c r="C11" s="179"/>
    </row>
    <row r="12" spans="1:7" ht="15.75">
      <c r="A12" s="203" t="s">
        <v>511</v>
      </c>
      <c r="B12" s="192">
        <v>4255189</v>
      </c>
      <c r="C12" s="192">
        <v>2996263</v>
      </c>
      <c r="D12" s="192">
        <v>1501687</v>
      </c>
      <c r="E12" s="192">
        <v>1391034</v>
      </c>
      <c r="F12" s="192">
        <v>2243</v>
      </c>
      <c r="G12" s="192">
        <v>174</v>
      </c>
    </row>
    <row r="13" spans="1:7" ht="12.75">
      <c r="A13" s="193" t="s">
        <v>522</v>
      </c>
      <c r="B13" s="192">
        <v>39999709</v>
      </c>
      <c r="C13" s="192">
        <v>36349852</v>
      </c>
      <c r="D13" s="192">
        <v>4750190</v>
      </c>
      <c r="E13" s="192">
        <v>3337315</v>
      </c>
      <c r="F13" s="192">
        <v>621090</v>
      </c>
      <c r="G13" s="192">
        <v>522070</v>
      </c>
    </row>
    <row r="14" spans="1:7" ht="18" customHeight="1">
      <c r="A14" s="194" t="s">
        <v>57</v>
      </c>
      <c r="B14" s="195">
        <f aca="true" t="shared" si="1" ref="B14:G14">SUM(B12:B13)</f>
        <v>44254898</v>
      </c>
      <c r="C14" s="195">
        <f t="shared" si="1"/>
        <v>39346115</v>
      </c>
      <c r="D14" s="195">
        <f t="shared" si="1"/>
        <v>6251877</v>
      </c>
      <c r="E14" s="195">
        <f t="shared" si="1"/>
        <v>4728349</v>
      </c>
      <c r="F14" s="195">
        <f t="shared" si="1"/>
        <v>623333</v>
      </c>
      <c r="G14" s="195">
        <f t="shared" si="1"/>
        <v>522244</v>
      </c>
    </row>
    <row r="15" spans="1:7" ht="15" customHeight="1">
      <c r="A15" s="196" t="s">
        <v>523</v>
      </c>
      <c r="B15" s="192">
        <v>5029852</v>
      </c>
      <c r="C15" s="192">
        <v>4799200</v>
      </c>
      <c r="D15" s="192">
        <v>597332</v>
      </c>
      <c r="E15" s="192">
        <v>532749</v>
      </c>
      <c r="F15" s="192">
        <v>380</v>
      </c>
      <c r="G15" s="192">
        <v>245</v>
      </c>
    </row>
    <row r="17" ht="15.75">
      <c r="A17" s="182" t="s">
        <v>520</v>
      </c>
    </row>
    <row r="18" ht="15.75">
      <c r="A18" s="182"/>
    </row>
    <row r="19" spans="3:7" ht="12.75">
      <c r="C19" s="295" t="s">
        <v>445</v>
      </c>
      <c r="D19" s="295"/>
      <c r="E19" s="295"/>
      <c r="F19" s="295"/>
      <c r="G19" s="189"/>
    </row>
    <row r="20" spans="1:6" ht="12.75" customHeight="1">
      <c r="A20" s="198"/>
      <c r="B20" s="193"/>
      <c r="C20" s="199" t="s">
        <v>289</v>
      </c>
      <c r="D20" s="199" t="s">
        <v>290</v>
      </c>
      <c r="E20" s="199" t="s">
        <v>291</v>
      </c>
      <c r="F20" s="199" t="s">
        <v>292</v>
      </c>
    </row>
    <row r="21" spans="1:6" ht="16.5" customHeight="1">
      <c r="A21" s="197" t="s">
        <v>293</v>
      </c>
      <c r="B21" s="193"/>
      <c r="C21" s="193"/>
      <c r="D21" s="201"/>
      <c r="E21" s="201"/>
      <c r="F21" s="201"/>
    </row>
    <row r="22" spans="1:6" ht="12.75">
      <c r="A22" s="200" t="s">
        <v>508</v>
      </c>
      <c r="B22" s="193"/>
      <c r="C22" s="192">
        <v>7013146.091</v>
      </c>
      <c r="D22" s="192">
        <v>4606376.471</v>
      </c>
      <c r="E22" s="192">
        <v>1883174.941</v>
      </c>
      <c r="F22" s="192">
        <v>569729.71</v>
      </c>
    </row>
    <row r="23" spans="1:6" ht="12.75">
      <c r="A23" s="200" t="s">
        <v>509</v>
      </c>
      <c r="B23" s="193"/>
      <c r="C23" s="192">
        <v>1794357.803</v>
      </c>
      <c r="D23" s="192">
        <v>746247.476</v>
      </c>
      <c r="E23" s="192">
        <v>81455.597</v>
      </c>
      <c r="F23" s="192">
        <v>27303.389</v>
      </c>
    </row>
    <row r="24" spans="1:6" ht="12.75">
      <c r="A24" s="200" t="s">
        <v>510</v>
      </c>
      <c r="B24" s="193"/>
      <c r="C24" s="192">
        <v>254123.053</v>
      </c>
      <c r="D24" s="192">
        <v>173376.535</v>
      </c>
      <c r="E24" s="192">
        <v>51639.257</v>
      </c>
      <c r="F24" s="192">
        <v>16000.695</v>
      </c>
    </row>
    <row r="25" spans="1:6" ht="18.75" customHeight="1">
      <c r="A25" s="202" t="s">
        <v>57</v>
      </c>
      <c r="B25" s="193"/>
      <c r="C25" s="195">
        <f>SUM(C22:C24)</f>
        <v>9061626.946999999</v>
      </c>
      <c r="D25" s="195">
        <f>SUM(D22:D24)</f>
        <v>5526000.482</v>
      </c>
      <c r="E25" s="195">
        <f>SUM(E22:E24)</f>
        <v>2016269.7950000002</v>
      </c>
      <c r="F25" s="195">
        <f>SUM(F22:F24)</f>
        <v>613033.7939999999</v>
      </c>
    </row>
    <row r="26" spans="3:6" ht="12.75">
      <c r="C26" s="167"/>
      <c r="D26" s="167"/>
      <c r="E26" s="167"/>
      <c r="F26" s="167"/>
    </row>
    <row r="27" spans="1:6" ht="12.75">
      <c r="A27" s="176" t="s">
        <v>519</v>
      </c>
      <c r="B27" s="176"/>
      <c r="C27" s="188">
        <v>52268</v>
      </c>
      <c r="D27" s="188">
        <v>36006</v>
      </c>
      <c r="E27" s="192"/>
      <c r="F27" s="176"/>
    </row>
    <row r="28" spans="1:6" ht="12.75">
      <c r="A28" s="165" t="s">
        <v>517</v>
      </c>
      <c r="C28" s="188">
        <v>35340</v>
      </c>
      <c r="D28" s="188">
        <v>26287</v>
      </c>
      <c r="E28" s="188">
        <v>11907</v>
      </c>
      <c r="F28" s="167"/>
    </row>
    <row r="29" spans="1:6" ht="12.75">
      <c r="A29" s="165" t="s">
        <v>518</v>
      </c>
      <c r="C29" s="188">
        <v>207</v>
      </c>
      <c r="D29" s="188">
        <v>65</v>
      </c>
      <c r="E29" s="188">
        <v>0</v>
      </c>
      <c r="F29" s="167"/>
    </row>
    <row r="30" spans="4:6" ht="12.75">
      <c r="D30" s="183"/>
      <c r="E30" s="183"/>
      <c r="F30" s="183"/>
    </row>
    <row r="31" spans="1:6" ht="12.75">
      <c r="A31" s="165"/>
      <c r="D31" s="167"/>
      <c r="E31" s="167"/>
      <c r="F31" s="167"/>
    </row>
    <row r="32" spans="1:6" ht="12.75">
      <c r="A32" s="165"/>
      <c r="D32" s="167"/>
      <c r="E32" s="167"/>
      <c r="F32" s="167"/>
    </row>
    <row r="33" spans="1:6" ht="12.75">
      <c r="A33" s="190"/>
      <c r="D33" s="190"/>
      <c r="E33" s="190"/>
      <c r="F33" s="190"/>
    </row>
    <row r="34" ht="12.75">
      <c r="A34" s="176"/>
    </row>
    <row r="37" spans="2:7" ht="12.75">
      <c r="B37" s="168"/>
      <c r="D37" s="191"/>
      <c r="E37" s="191"/>
      <c r="F37" s="191"/>
      <c r="G37" s="191"/>
    </row>
    <row r="38" spans="2:7" ht="12.75">
      <c r="B38" s="185"/>
      <c r="D38" s="183"/>
      <c r="E38" s="183"/>
      <c r="F38" s="183"/>
      <c r="G38" s="183"/>
    </row>
    <row r="39" spans="2:7" ht="12.75">
      <c r="B39" s="185"/>
      <c r="D39" s="183"/>
      <c r="E39" s="183"/>
      <c r="F39" s="183"/>
      <c r="G39" s="183"/>
    </row>
    <row r="40" spans="2:7" ht="12.75">
      <c r="B40" s="185"/>
      <c r="D40" s="183"/>
      <c r="E40" s="183"/>
      <c r="F40" s="183"/>
      <c r="G40" s="183"/>
    </row>
    <row r="41" spans="2:7" ht="12.75">
      <c r="B41" s="185"/>
      <c r="D41" s="183"/>
      <c r="E41" s="183"/>
      <c r="F41" s="183"/>
      <c r="G41" s="183"/>
    </row>
  </sheetData>
  <mergeCells count="5">
    <mergeCell ref="H2:I2"/>
    <mergeCell ref="C19:F19"/>
    <mergeCell ref="B2:C2"/>
    <mergeCell ref="D2:E2"/>
    <mergeCell ref="F2:G2"/>
  </mergeCells>
  <printOptions/>
  <pageMargins left="0.4724409448818898" right="0.31496062992125984" top="0.984251968503937" bottom="0.3937007874015748" header="0.5118110236220472" footer="0.5118110236220472"/>
  <pageSetup firstPageNumber="84" useFirstPageNumber="1" horizontalDpi="600" verticalDpi="600" orientation="landscape" paperSize="9" r:id="rId1"/>
  <headerFooter alignWithMargins="0">
    <oddHeader xml:space="preserve">&amp;C&amp;"Times New Roman,Bold"&amp;14 7.1 DEVELOPMENT OF PENSION SAVINGS BY PENSION FUNDS AND OTHER DEPOSITORIES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43">
      <selection activeCell="D66" sqref="D66"/>
    </sheetView>
  </sheetViews>
  <sheetFormatPr defaultColWidth="9.140625" defaultRowHeight="12.75"/>
  <cols>
    <col min="1" max="1" width="3.28125" style="17" customWidth="1"/>
    <col min="2" max="2" width="3.00390625" style="17" customWidth="1"/>
    <col min="3" max="3" width="36.8515625" style="5" customWidth="1"/>
    <col min="4" max="4" width="4.8515625" style="16" customWidth="1"/>
    <col min="5" max="5" width="11.00390625" style="12" customWidth="1"/>
    <col min="6" max="6" width="3.28125" style="5" customWidth="1"/>
    <col min="7" max="7" width="11.00390625" style="12" customWidth="1"/>
    <col min="8" max="8" width="3.57421875" style="5" customWidth="1"/>
    <col min="9" max="9" width="8.421875" style="5" customWidth="1"/>
    <col min="10" max="11" width="0" style="5" hidden="1" customWidth="1"/>
    <col min="12" max="12" width="9.140625" style="5" customWidth="1"/>
    <col min="13" max="13" width="9.57421875" style="5" bestFit="1" customWidth="1"/>
    <col min="14" max="16384" width="9.140625" style="5" customWidth="1"/>
  </cols>
  <sheetData>
    <row r="1" spans="1:9" ht="12.75">
      <c r="A1" s="2"/>
      <c r="B1" s="2"/>
      <c r="C1" s="3"/>
      <c r="D1" s="4"/>
      <c r="E1" s="8" t="s">
        <v>305</v>
      </c>
      <c r="F1" s="6"/>
      <c r="G1" s="8" t="s">
        <v>305</v>
      </c>
      <c r="H1" s="6"/>
      <c r="I1" s="9" t="s">
        <v>306</v>
      </c>
    </row>
    <row r="2" spans="1:9" ht="13.5" customHeight="1">
      <c r="A2" s="2"/>
      <c r="B2" s="2"/>
      <c r="C2" s="3"/>
      <c r="D2" s="7"/>
      <c r="E2" s="8" t="s">
        <v>261</v>
      </c>
      <c r="F2" s="6"/>
      <c r="G2" s="8" t="s">
        <v>222</v>
      </c>
      <c r="H2" s="6"/>
      <c r="I2" s="9" t="s">
        <v>307</v>
      </c>
    </row>
    <row r="3" spans="1:9" ht="13.5" customHeight="1">
      <c r="A3" s="2"/>
      <c r="B3" s="2"/>
      <c r="C3" s="3"/>
      <c r="D3" s="7"/>
      <c r="E3" s="10" t="s">
        <v>308</v>
      </c>
      <c r="F3" s="11"/>
      <c r="G3" s="10" t="s">
        <v>308</v>
      </c>
      <c r="H3" s="11"/>
      <c r="I3" s="11" t="s">
        <v>50</v>
      </c>
    </row>
    <row r="4" spans="1:9" ht="7.5" customHeight="1">
      <c r="A4" s="2"/>
      <c r="B4" s="2"/>
      <c r="C4" s="3"/>
      <c r="D4" s="7"/>
      <c r="H4" s="3"/>
      <c r="I4" s="3"/>
    </row>
    <row r="5" spans="1:15" ht="13.5" customHeight="1">
      <c r="A5" s="2">
        <v>1</v>
      </c>
      <c r="B5" s="2"/>
      <c r="C5" s="3" t="s">
        <v>33</v>
      </c>
      <c r="D5" s="7" t="s">
        <v>52</v>
      </c>
      <c r="E5" s="13">
        <f>'3.2 Balance Sheet'!B57</f>
        <v>116125953.2</v>
      </c>
      <c r="F5" s="14"/>
      <c r="G5" s="12">
        <f>+'3.1 Changes'!B64</f>
        <v>100780542</v>
      </c>
      <c r="H5" s="13"/>
      <c r="I5" s="15">
        <f aca="true" t="shared" si="0" ref="I5:I38">(E5/G5)-1</f>
        <v>0.1522656149239603</v>
      </c>
      <c r="M5" s="12"/>
      <c r="N5" s="13"/>
      <c r="O5" s="13"/>
    </row>
    <row r="6" spans="1:14" ht="13.5" customHeight="1">
      <c r="A6" s="2">
        <v>2</v>
      </c>
      <c r="B6" s="2"/>
      <c r="C6" s="3" t="s">
        <v>39</v>
      </c>
      <c r="D6" s="7"/>
      <c r="E6" s="13">
        <f>'3.2 Balance Sheet'!C57</f>
        <v>101957398</v>
      </c>
      <c r="F6" s="14"/>
      <c r="G6" s="12">
        <f>+'3.1 Changes'!C64</f>
        <v>97511693</v>
      </c>
      <c r="H6" s="13"/>
      <c r="I6" s="15">
        <f t="shared" si="0"/>
        <v>0.04559150665141254</v>
      </c>
      <c r="M6" s="12"/>
      <c r="N6" s="13"/>
    </row>
    <row r="7" spans="1:14" ht="13.5" customHeight="1">
      <c r="A7" s="2">
        <v>3</v>
      </c>
      <c r="B7" s="2"/>
      <c r="C7" s="3" t="s">
        <v>43</v>
      </c>
      <c r="D7" s="7"/>
      <c r="E7" s="13">
        <f>'3.2 Balance Sheet'!D57</f>
        <v>53673365.472</v>
      </c>
      <c r="F7" s="14"/>
      <c r="G7" s="12">
        <f>+'3.1 Changes'!D64</f>
        <v>52137157.383</v>
      </c>
      <c r="H7" s="13"/>
      <c r="I7" s="15">
        <f t="shared" si="0"/>
        <v>0.029464745799526515</v>
      </c>
      <c r="M7" s="12"/>
      <c r="N7" s="13"/>
    </row>
    <row r="8" spans="1:14" ht="13.5" customHeight="1">
      <c r="A8" s="2">
        <v>4</v>
      </c>
      <c r="B8" s="2"/>
      <c r="C8" s="3" t="s">
        <v>26</v>
      </c>
      <c r="D8" s="7"/>
      <c r="E8" s="13">
        <f>'3.2 Balance Sheet'!E57</f>
        <v>47062605</v>
      </c>
      <c r="F8" s="14"/>
      <c r="G8" s="12">
        <f>+'3.1 Changes'!E64</f>
        <v>44867509</v>
      </c>
      <c r="H8" s="13"/>
      <c r="I8" s="15">
        <f>(E8/G8)-1</f>
        <v>0.04892395519439252</v>
      </c>
      <c r="M8" s="12"/>
      <c r="N8" s="13"/>
    </row>
    <row r="9" spans="1:14" ht="13.5" customHeight="1">
      <c r="A9" s="2">
        <v>5</v>
      </c>
      <c r="B9" s="2"/>
      <c r="C9" s="3" t="s">
        <v>46</v>
      </c>
      <c r="D9" s="7" t="s">
        <v>51</v>
      </c>
      <c r="E9" s="13">
        <f>'3.2 Balance Sheet'!F57</f>
        <v>46039937.1</v>
      </c>
      <c r="F9" s="14"/>
      <c r="G9" s="12">
        <f>+'3.1 Changes'!F64</f>
        <v>48649187</v>
      </c>
      <c r="H9" s="13"/>
      <c r="I9" s="15">
        <f t="shared" si="0"/>
        <v>-0.0536339877581099</v>
      </c>
      <c r="M9" s="12"/>
      <c r="N9" s="13"/>
    </row>
    <row r="10" spans="1:14" ht="13.5" customHeight="1">
      <c r="A10" s="2">
        <v>6</v>
      </c>
      <c r="B10" s="2"/>
      <c r="C10" s="3" t="s">
        <v>24</v>
      </c>
      <c r="D10" s="48"/>
      <c r="E10" s="13">
        <f>+'3.2 Balance Sheet'!G57</f>
        <v>28378311</v>
      </c>
      <c r="F10" s="14"/>
      <c r="G10" s="29">
        <f>+'3.1 Changes'!G64</f>
        <v>27726911</v>
      </c>
      <c r="H10" s="13"/>
      <c r="I10" s="15">
        <f t="shared" si="0"/>
        <v>0.023493421246961077</v>
      </c>
      <c r="M10" s="12"/>
      <c r="N10" s="13"/>
    </row>
    <row r="11" spans="1:14" ht="13.5" customHeight="1">
      <c r="A11" s="2">
        <v>7</v>
      </c>
      <c r="B11" s="2"/>
      <c r="C11" s="3" t="s">
        <v>49</v>
      </c>
      <c r="D11" s="7"/>
      <c r="E11" s="13">
        <f>'3.2 Balance Sheet'!H57</f>
        <v>23939624</v>
      </c>
      <c r="F11" s="14"/>
      <c r="G11" s="29">
        <f>+'3.1 Changes'!H64</f>
        <v>22261551</v>
      </c>
      <c r="H11" s="13"/>
      <c r="I11" s="15">
        <f t="shared" si="0"/>
        <v>0.0753798780686934</v>
      </c>
      <c r="M11" s="12"/>
      <c r="N11" s="13"/>
    </row>
    <row r="12" spans="1:14" ht="13.5" customHeight="1">
      <c r="A12" s="2">
        <v>8</v>
      </c>
      <c r="B12" s="2"/>
      <c r="C12" s="3" t="s">
        <v>15</v>
      </c>
      <c r="D12" s="7"/>
      <c r="E12" s="12">
        <f>'3.2 Balance Sheet'!I57</f>
        <v>19789062.2</v>
      </c>
      <c r="F12" s="14"/>
      <c r="G12" s="29">
        <f>+'3.1 Changes'!I64</f>
        <v>19286619</v>
      </c>
      <c r="H12" s="13"/>
      <c r="I12" s="15">
        <f t="shared" si="0"/>
        <v>0.02605138827080067</v>
      </c>
      <c r="M12" s="12"/>
      <c r="N12" s="13"/>
    </row>
    <row r="13" spans="1:14" ht="13.5" customHeight="1">
      <c r="A13" s="2">
        <v>9</v>
      </c>
      <c r="B13" s="2"/>
      <c r="C13" s="3" t="s">
        <v>9</v>
      </c>
      <c r="D13" s="7" t="s">
        <v>51</v>
      </c>
      <c r="E13" s="12">
        <f>'3.2 Balance Sheet'!J57</f>
        <v>19680484</v>
      </c>
      <c r="F13" s="14"/>
      <c r="G13" s="12">
        <f>+'3.1 Changes'!J64</f>
        <v>18432762</v>
      </c>
      <c r="H13" s="13"/>
      <c r="I13" s="15">
        <f>(E13/G13)-1</f>
        <v>0.06769045246718863</v>
      </c>
      <c r="M13" s="12"/>
      <c r="N13" s="13"/>
    </row>
    <row r="14" spans="1:14" ht="13.5" customHeight="1">
      <c r="A14" s="2">
        <v>10</v>
      </c>
      <c r="B14" s="2"/>
      <c r="C14" s="3" t="s">
        <v>44</v>
      </c>
      <c r="D14" s="7"/>
      <c r="E14" s="12">
        <f>'3.2 Balance Sheet'!K57</f>
        <v>18980901</v>
      </c>
      <c r="F14" s="14"/>
      <c r="G14" s="29">
        <f>+'3.1 Changes'!K64</f>
        <v>18120932</v>
      </c>
      <c r="H14" s="13"/>
      <c r="I14" s="15">
        <f t="shared" si="0"/>
        <v>0.04745721688045634</v>
      </c>
      <c r="M14" s="12"/>
      <c r="N14" s="13"/>
    </row>
    <row r="15" spans="1:14" ht="13.5" customHeight="1">
      <c r="A15" s="2">
        <v>11</v>
      </c>
      <c r="B15" s="2"/>
      <c r="C15" s="3" t="s">
        <v>47</v>
      </c>
      <c r="D15" s="7"/>
      <c r="E15" s="12">
        <f>'3.2 Balance Sheet'!L57</f>
        <v>17651900.621</v>
      </c>
      <c r="F15" s="14"/>
      <c r="G15" s="29">
        <f>+'3.1 Changes'!L64</f>
        <v>17088087.4</v>
      </c>
      <c r="H15" s="13"/>
      <c r="I15" s="15">
        <f t="shared" si="0"/>
        <v>0.032994518801442885</v>
      </c>
      <c r="M15" s="12"/>
      <c r="N15" s="13"/>
    </row>
    <row r="16" spans="1:14" ht="13.5" customHeight="1">
      <c r="A16" s="2">
        <v>12</v>
      </c>
      <c r="B16" s="2"/>
      <c r="C16" s="3" t="s">
        <v>14</v>
      </c>
      <c r="D16" s="7"/>
      <c r="E16" s="12">
        <f>'3.2 Balance Sheet'!M57</f>
        <v>13242462.412999999</v>
      </c>
      <c r="F16" s="14"/>
      <c r="G16" s="29">
        <f>+'3.1 Changes'!M64</f>
        <v>14038668.885</v>
      </c>
      <c r="H16" s="13"/>
      <c r="I16" s="15">
        <f t="shared" si="0"/>
        <v>-0.05671523977965809</v>
      </c>
      <c r="M16" s="12"/>
      <c r="N16" s="13"/>
    </row>
    <row r="17" spans="1:14" ht="13.5" customHeight="1">
      <c r="A17" s="2">
        <v>13</v>
      </c>
      <c r="B17" s="2"/>
      <c r="C17" s="3" t="s">
        <v>21</v>
      </c>
      <c r="D17" s="7"/>
      <c r="E17" s="12">
        <f>'3.2 Balance Sheet'!N57</f>
        <v>13009800.5481</v>
      </c>
      <c r="F17" s="14"/>
      <c r="G17" s="12">
        <f>+'3.1 Changes'!N64</f>
        <v>12831499</v>
      </c>
      <c r="H17" s="13"/>
      <c r="I17" s="15">
        <f>(E17/G17)-1</f>
        <v>0.013895613295064058</v>
      </c>
      <c r="M17" s="12"/>
      <c r="N17" s="13"/>
    </row>
    <row r="18" spans="1:14" ht="13.5" customHeight="1">
      <c r="A18" s="2">
        <v>14</v>
      </c>
      <c r="B18" s="2"/>
      <c r="C18" s="3" t="s">
        <v>40</v>
      </c>
      <c r="D18" s="7"/>
      <c r="E18" s="12">
        <f>'3.2 Balance Sheet'!O57</f>
        <v>12906767</v>
      </c>
      <c r="F18" s="14"/>
      <c r="G18" s="76">
        <f>+'3.1 Changes'!O64</f>
        <v>13152576</v>
      </c>
      <c r="H18" s="13"/>
      <c r="I18" s="15">
        <f t="shared" si="0"/>
        <v>-0.018689038557922033</v>
      </c>
      <c r="M18" s="12"/>
      <c r="N18" s="13"/>
    </row>
    <row r="19" spans="1:14" ht="13.5" customHeight="1">
      <c r="A19" s="2">
        <v>15</v>
      </c>
      <c r="B19" s="2"/>
      <c r="C19" s="3" t="s">
        <v>0</v>
      </c>
      <c r="D19" s="7"/>
      <c r="E19" s="12">
        <f>'3.2 Balance Sheet'!P57</f>
        <v>12715335.302</v>
      </c>
      <c r="F19" s="14"/>
      <c r="G19" s="12">
        <f>+'3.1 Changes'!P64</f>
        <v>11212719.156</v>
      </c>
      <c r="H19" s="13"/>
      <c r="I19" s="15">
        <f>(E19/G19)-1</f>
        <v>0.13400996895529493</v>
      </c>
      <c r="M19" s="12"/>
      <c r="N19" s="13"/>
    </row>
    <row r="20" spans="1:14" ht="13.5" customHeight="1">
      <c r="A20" s="2">
        <v>16</v>
      </c>
      <c r="B20" s="2"/>
      <c r="C20" s="3" t="s">
        <v>38</v>
      </c>
      <c r="D20" s="7"/>
      <c r="E20" s="12">
        <f>'3.2 Balance Sheet'!Q57</f>
        <v>12011905.132</v>
      </c>
      <c r="F20" s="14"/>
      <c r="G20" s="12">
        <f>+'3.1 Changes'!Q64</f>
        <v>11981662.12</v>
      </c>
      <c r="H20" s="13"/>
      <c r="I20" s="15">
        <f t="shared" si="0"/>
        <v>0.002524108232823341</v>
      </c>
      <c r="M20" s="12"/>
      <c r="N20" s="13"/>
    </row>
    <row r="21" spans="1:14" ht="13.5" customHeight="1">
      <c r="A21" s="2">
        <v>17</v>
      </c>
      <c r="B21" s="2"/>
      <c r="C21" s="3" t="s">
        <v>36</v>
      </c>
      <c r="D21" s="7"/>
      <c r="E21" s="12">
        <f>'3.2 Balance Sheet'!R57</f>
        <v>11770636</v>
      </c>
      <c r="F21" s="14"/>
      <c r="G21" s="12">
        <f>+'3.1 Changes'!R64</f>
        <v>11695370</v>
      </c>
      <c r="H21" s="13"/>
      <c r="I21" s="15">
        <f>(E21/G21)-1</f>
        <v>0.006435538165957988</v>
      </c>
      <c r="M21" s="12"/>
      <c r="N21" s="13"/>
    </row>
    <row r="22" spans="1:14" ht="13.5" customHeight="1">
      <c r="A22" s="2">
        <v>18</v>
      </c>
      <c r="B22" s="2"/>
      <c r="C22" s="3" t="s">
        <v>17</v>
      </c>
      <c r="D22" s="7"/>
      <c r="E22" s="12">
        <f>'3.2 Balance Sheet'!S57</f>
        <v>11387964</v>
      </c>
      <c r="F22" s="14"/>
      <c r="G22" s="12">
        <f>+'3.1 Changes'!S64</f>
        <v>11960276</v>
      </c>
      <c r="H22" s="13"/>
      <c r="I22" s="15">
        <f t="shared" si="0"/>
        <v>-0.047851069657589895</v>
      </c>
      <c r="M22" s="12"/>
      <c r="N22" s="13"/>
    </row>
    <row r="23" spans="1:14" ht="13.5" customHeight="1">
      <c r="A23" s="2">
        <v>19</v>
      </c>
      <c r="B23" s="2"/>
      <c r="C23" s="3" t="s">
        <v>41</v>
      </c>
      <c r="D23" s="7"/>
      <c r="E23" s="12">
        <f>'3.2 Balance Sheet'!T57</f>
        <v>11356951.4</v>
      </c>
      <c r="F23" s="14"/>
      <c r="G23" s="12">
        <f>+'3.1 Changes'!T64</f>
        <v>10926915.8</v>
      </c>
      <c r="H23" s="13"/>
      <c r="I23" s="15">
        <f t="shared" si="0"/>
        <v>0.039355624942218226</v>
      </c>
      <c r="M23" s="12"/>
      <c r="N23" s="13"/>
    </row>
    <row r="24" spans="1:14" ht="13.5" customHeight="1">
      <c r="A24" s="2">
        <v>20</v>
      </c>
      <c r="B24" s="2"/>
      <c r="C24" s="3" t="s">
        <v>20</v>
      </c>
      <c r="D24" s="7" t="s">
        <v>52</v>
      </c>
      <c r="E24" s="12">
        <f>'3.2 Balance Sheet'!U57</f>
        <v>10495947.99</v>
      </c>
      <c r="F24" s="14"/>
      <c r="G24" s="12">
        <f>+'3.1 Changes'!U64</f>
        <v>9530090</v>
      </c>
      <c r="H24" s="13"/>
      <c r="I24" s="15">
        <f t="shared" si="0"/>
        <v>0.10134825484334353</v>
      </c>
      <c r="M24" s="12"/>
      <c r="N24" s="13"/>
    </row>
    <row r="25" spans="1:14" ht="13.5" customHeight="1">
      <c r="A25" s="2">
        <v>21</v>
      </c>
      <c r="B25" s="2"/>
      <c r="C25" s="3" t="s">
        <v>42</v>
      </c>
      <c r="D25" s="7"/>
      <c r="E25" s="12">
        <f>'3.2 Balance Sheet'!V57</f>
        <v>8261145.30001</v>
      </c>
      <c r="F25" s="14"/>
      <c r="G25" s="12">
        <f>+'3.1 Changes'!V64</f>
        <v>7902536</v>
      </c>
      <c r="H25" s="13"/>
      <c r="I25" s="15">
        <f t="shared" si="0"/>
        <v>0.04537901504150055</v>
      </c>
      <c r="M25" s="12"/>
      <c r="N25" s="13"/>
    </row>
    <row r="26" spans="1:14" ht="13.5" customHeight="1">
      <c r="A26" s="2">
        <v>22</v>
      </c>
      <c r="B26" s="2"/>
      <c r="C26" s="3" t="s">
        <v>4</v>
      </c>
      <c r="D26" s="7"/>
      <c r="E26" s="12">
        <f>'3.2 Balance Sheet'!W57</f>
        <v>7824992</v>
      </c>
      <c r="F26" s="14"/>
      <c r="G26" s="12">
        <f>+'3.1 Changes'!W64</f>
        <v>7831465</v>
      </c>
      <c r="H26" s="13"/>
      <c r="I26" s="15">
        <f t="shared" si="0"/>
        <v>-0.0008265375635337913</v>
      </c>
      <c r="M26" s="12"/>
      <c r="N26" s="13"/>
    </row>
    <row r="27" spans="1:14" ht="13.5" customHeight="1">
      <c r="A27" s="2">
        <v>23</v>
      </c>
      <c r="B27" s="2"/>
      <c r="C27" s="3" t="s">
        <v>13</v>
      </c>
      <c r="D27" s="7"/>
      <c r="E27" s="12">
        <f>'3.2 Balance Sheet'!X57</f>
        <v>6769008.6</v>
      </c>
      <c r="F27" s="14"/>
      <c r="G27" s="12">
        <f>+'3.1 Changes'!X64</f>
        <v>6579362</v>
      </c>
      <c r="H27" s="13"/>
      <c r="I27" s="15">
        <f t="shared" si="0"/>
        <v>0.02882446656681914</v>
      </c>
      <c r="M27" s="12"/>
      <c r="N27" s="13"/>
    </row>
    <row r="28" spans="1:14" ht="13.5" customHeight="1">
      <c r="A28" s="2">
        <v>24</v>
      </c>
      <c r="B28" s="2"/>
      <c r="C28" s="3" t="s">
        <v>28</v>
      </c>
      <c r="D28" s="7"/>
      <c r="E28" s="12">
        <f>'3.2 Balance Sheet'!Y57</f>
        <v>6712215.9180000005</v>
      </c>
      <c r="F28" s="14"/>
      <c r="G28" s="12">
        <f>+'3.1 Changes'!Y64</f>
        <v>6355545.065</v>
      </c>
      <c r="H28" s="13"/>
      <c r="I28" s="15">
        <f t="shared" si="0"/>
        <v>0.05611963243942486</v>
      </c>
      <c r="M28" s="12"/>
      <c r="N28" s="13"/>
    </row>
    <row r="29" spans="1:14" ht="13.5" customHeight="1">
      <c r="A29" s="2">
        <v>25</v>
      </c>
      <c r="B29" s="2"/>
      <c r="C29" s="3" t="s">
        <v>10</v>
      </c>
      <c r="D29" s="7"/>
      <c r="E29" s="12">
        <f>'3.2 Balance Sheet'!Z57</f>
        <v>5928452.039</v>
      </c>
      <c r="F29" s="14"/>
      <c r="G29" s="12">
        <f>+'3.1 Changes'!Z64</f>
        <v>4898003.058</v>
      </c>
      <c r="H29" s="13"/>
      <c r="I29" s="15">
        <f>(E29/G29)-1</f>
        <v>0.21038144909218626</v>
      </c>
      <c r="M29" s="12"/>
      <c r="N29" s="13"/>
    </row>
    <row r="30" spans="1:14" ht="13.5" customHeight="1">
      <c r="A30" s="2">
        <v>26</v>
      </c>
      <c r="B30" s="2"/>
      <c r="C30" s="3" t="s">
        <v>35</v>
      </c>
      <c r="D30" s="7"/>
      <c r="E30" s="12">
        <f>'3.2 Balance Sheet'!AA57</f>
        <v>5461015.597999999</v>
      </c>
      <c r="F30" s="14"/>
      <c r="G30" s="12">
        <f>+'3.1 Changes'!AA64</f>
        <v>5499806.578</v>
      </c>
      <c r="H30" s="13"/>
      <c r="I30" s="15">
        <f t="shared" si="0"/>
        <v>-0.007053153497282971</v>
      </c>
      <c r="M30" s="12"/>
      <c r="N30" s="13"/>
    </row>
    <row r="31" spans="1:14" ht="13.5" customHeight="1">
      <c r="A31" s="2">
        <v>27</v>
      </c>
      <c r="B31" s="2"/>
      <c r="C31" s="5" t="s">
        <v>34</v>
      </c>
      <c r="D31" s="16" t="s">
        <v>279</v>
      </c>
      <c r="E31" s="12">
        <f>'3.2 Balance Sheet'!AB57</f>
        <v>4830217</v>
      </c>
      <c r="F31" s="13"/>
      <c r="G31" s="12">
        <f>+'3.1 Changes'!AB64</f>
        <v>3090887</v>
      </c>
      <c r="H31" s="13"/>
      <c r="I31" s="15">
        <f>(E31/G31)-1</f>
        <v>0.5627284336179226</v>
      </c>
      <c r="M31" s="12"/>
      <c r="N31" s="13"/>
    </row>
    <row r="32" spans="1:14" ht="13.5" customHeight="1">
      <c r="A32" s="2">
        <v>28</v>
      </c>
      <c r="B32" s="2"/>
      <c r="C32" s="5" t="s">
        <v>48</v>
      </c>
      <c r="E32" s="12">
        <f>'3.2 Balance Sheet'!AC57</f>
        <v>3747214.9</v>
      </c>
      <c r="F32" s="13"/>
      <c r="G32" s="12">
        <f>+'3.1 Changes'!AC64</f>
        <v>1732328.4</v>
      </c>
      <c r="H32" s="13"/>
      <c r="I32" s="15">
        <f>(E32/G32)-1</f>
        <v>1.1631088539563286</v>
      </c>
      <c r="M32" s="12"/>
      <c r="N32" s="13"/>
    </row>
    <row r="33" spans="1:14" ht="13.5" customHeight="1">
      <c r="A33" s="2">
        <v>29</v>
      </c>
      <c r="B33" s="2"/>
      <c r="C33" s="3" t="s">
        <v>32</v>
      </c>
      <c r="D33" s="7" t="s">
        <v>52</v>
      </c>
      <c r="E33" s="12">
        <f>'3.2 Balance Sheet'!AD57</f>
        <v>3549915</v>
      </c>
      <c r="F33" s="14"/>
      <c r="G33" s="12">
        <f>+'3.1 Changes'!AD64</f>
        <v>3192141</v>
      </c>
      <c r="H33" s="13"/>
      <c r="I33" s="15">
        <f t="shared" si="0"/>
        <v>0.11207963558000733</v>
      </c>
      <c r="M33" s="12"/>
      <c r="N33" s="13"/>
    </row>
    <row r="34" spans="1:14" ht="13.5" customHeight="1">
      <c r="A34" s="2">
        <v>30</v>
      </c>
      <c r="B34" s="2"/>
      <c r="C34" s="3" t="s">
        <v>3</v>
      </c>
      <c r="D34" s="7" t="s">
        <v>56</v>
      </c>
      <c r="E34" s="12">
        <f>'3.2 Balance Sheet'!AE57</f>
        <v>2711576</v>
      </c>
      <c r="F34" s="14"/>
      <c r="G34" s="12">
        <f>+'3.1 Changes'!AE64</f>
        <v>2568739</v>
      </c>
      <c r="H34" s="13"/>
      <c r="I34" s="15">
        <f t="shared" si="0"/>
        <v>0.05560588288650581</v>
      </c>
      <c r="M34" s="12"/>
      <c r="N34" s="13"/>
    </row>
    <row r="35" spans="1:14" ht="13.5" customHeight="1">
      <c r="A35" s="2">
        <v>31</v>
      </c>
      <c r="B35" s="2"/>
      <c r="C35" s="3" t="s">
        <v>18</v>
      </c>
      <c r="D35" s="7" t="s">
        <v>53</v>
      </c>
      <c r="E35" s="12">
        <f>'3.2 Balance Sheet'!AF57</f>
        <v>2626241</v>
      </c>
      <c r="F35" s="14"/>
      <c r="G35" s="12">
        <f>+'3.1 Changes'!AF64</f>
        <v>2562079</v>
      </c>
      <c r="H35" s="13"/>
      <c r="I35" s="15">
        <f t="shared" si="0"/>
        <v>0.025042943640691817</v>
      </c>
      <c r="M35" s="12"/>
      <c r="N35" s="13"/>
    </row>
    <row r="36" spans="1:14" ht="13.5" customHeight="1">
      <c r="A36" s="2">
        <v>32</v>
      </c>
      <c r="B36" s="2"/>
      <c r="C36" s="3" t="s">
        <v>25</v>
      </c>
      <c r="D36" s="7"/>
      <c r="E36" s="12">
        <f>'3.2 Balance Sheet'!AG57</f>
        <v>2385923.8600000003</v>
      </c>
      <c r="F36" s="14"/>
      <c r="G36" s="12">
        <f>+'3.1 Changes'!AG64</f>
        <v>2207445.45</v>
      </c>
      <c r="H36" s="13"/>
      <c r="I36" s="15">
        <f t="shared" si="0"/>
        <v>0.08085291983092957</v>
      </c>
      <c r="M36" s="12"/>
      <c r="N36" s="13"/>
    </row>
    <row r="37" spans="1:14" ht="13.5" customHeight="1">
      <c r="A37" s="2">
        <v>33</v>
      </c>
      <c r="B37" s="2"/>
      <c r="C37" s="3" t="s">
        <v>19</v>
      </c>
      <c r="D37" s="7" t="s">
        <v>54</v>
      </c>
      <c r="E37" s="12">
        <f>'3.2 Balance Sheet'!AH57</f>
        <v>2108793</v>
      </c>
      <c r="F37" s="14"/>
      <c r="G37" s="12">
        <f>+'3.1 Changes'!AH64</f>
        <v>2104651</v>
      </c>
      <c r="H37" s="13"/>
      <c r="I37" s="15">
        <f t="shared" si="0"/>
        <v>0.001968022251670254</v>
      </c>
      <c r="M37" s="12"/>
      <c r="N37" s="13"/>
    </row>
    <row r="38" spans="1:14" ht="13.5" customHeight="1">
      <c r="A38" s="2">
        <v>34</v>
      </c>
      <c r="B38" s="2"/>
      <c r="C38" s="3" t="s">
        <v>16</v>
      </c>
      <c r="D38" s="7"/>
      <c r="E38" s="12">
        <f>'3.2 Balance Sheet'!AI57</f>
        <v>2003247.1639999999</v>
      </c>
      <c r="F38" s="14"/>
      <c r="G38" s="12">
        <f>+'3.1 Changes'!AI64</f>
        <v>2090302.009</v>
      </c>
      <c r="H38" s="13"/>
      <c r="I38" s="15">
        <f t="shared" si="0"/>
        <v>-0.04164701781138658</v>
      </c>
      <c r="M38" s="12"/>
      <c r="N38" s="13"/>
    </row>
    <row r="39" spans="1:14" ht="13.5" customHeight="1">
      <c r="A39" s="5">
        <v>35</v>
      </c>
      <c r="B39" s="2"/>
      <c r="C39" s="3" t="s">
        <v>251</v>
      </c>
      <c r="D39" s="7" t="s">
        <v>52</v>
      </c>
      <c r="E39" s="12">
        <f>'3.2 Balance Sheet'!AJ57</f>
        <v>1408018.796</v>
      </c>
      <c r="F39" s="14"/>
      <c r="G39" s="12">
        <f>+'3.1 Changes'!AJ64</f>
        <v>1487252.044</v>
      </c>
      <c r="H39" s="13"/>
      <c r="I39" s="15">
        <f aca="true" t="shared" si="1" ref="I39:I56">(E39/G39)-1</f>
        <v>-0.053274929639296476</v>
      </c>
      <c r="M39" s="12"/>
      <c r="N39" s="13"/>
    </row>
    <row r="40" spans="1:14" ht="13.5" customHeight="1">
      <c r="A40" s="2">
        <v>36</v>
      </c>
      <c r="B40" s="2"/>
      <c r="C40" s="3" t="s">
        <v>1</v>
      </c>
      <c r="D40" s="7" t="s">
        <v>54</v>
      </c>
      <c r="E40" s="12">
        <f>'3.2 Balance Sheet'!AK57</f>
        <v>1345421</v>
      </c>
      <c r="F40" s="14"/>
      <c r="G40" s="12">
        <f>+'3.1 Changes'!AK64</f>
        <v>1412447</v>
      </c>
      <c r="H40" s="13"/>
      <c r="I40" s="15">
        <f t="shared" si="1"/>
        <v>-0.047453815966192026</v>
      </c>
      <c r="M40" s="12"/>
      <c r="N40" s="13"/>
    </row>
    <row r="41" spans="1:14" ht="13.5" customHeight="1">
      <c r="A41" s="5">
        <v>37</v>
      </c>
      <c r="B41" s="2"/>
      <c r="C41" s="5" t="s">
        <v>37</v>
      </c>
      <c r="E41" s="12">
        <f>+'3.2 Balance Sheet'!AL57</f>
        <v>1319620</v>
      </c>
      <c r="F41" s="13"/>
      <c r="G41" s="12">
        <f>+'3.1 Changes'!AL64</f>
        <v>1192208</v>
      </c>
      <c r="H41" s="13"/>
      <c r="I41" s="15">
        <f>(E41/G41)-1</f>
        <v>0.10687061318159241</v>
      </c>
      <c r="M41" s="12"/>
      <c r="N41" s="13"/>
    </row>
    <row r="42" spans="1:14" ht="13.5" customHeight="1">
      <c r="A42" s="2">
        <v>38</v>
      </c>
      <c r="B42" s="2"/>
      <c r="C42" s="5" t="s">
        <v>2</v>
      </c>
      <c r="D42" s="16" t="s">
        <v>52</v>
      </c>
      <c r="E42" s="12">
        <f>'3.2 Balance Sheet'!AM57</f>
        <v>1308119.371</v>
      </c>
      <c r="F42" s="13"/>
      <c r="G42" s="12">
        <f>+'3.1 Changes'!AM64</f>
        <v>1288925.877</v>
      </c>
      <c r="H42" s="13"/>
      <c r="I42" s="15">
        <f t="shared" si="1"/>
        <v>0.014891076626278199</v>
      </c>
      <c r="M42" s="12"/>
      <c r="N42" s="13"/>
    </row>
    <row r="43" spans="1:14" ht="13.5" customHeight="1">
      <c r="A43" s="5">
        <v>39</v>
      </c>
      <c r="B43" s="2"/>
      <c r="C43" s="5" t="s">
        <v>22</v>
      </c>
      <c r="D43" s="16" t="s">
        <v>54</v>
      </c>
      <c r="E43" s="12">
        <f>'3.2 Balance Sheet'!AN57</f>
        <v>1250537</v>
      </c>
      <c r="F43" s="13"/>
      <c r="G43" s="12">
        <f>+'3.1 Changes'!AN64</f>
        <v>1258802</v>
      </c>
      <c r="H43" s="13"/>
      <c r="I43" s="15">
        <f t="shared" si="1"/>
        <v>-0.006565766498623282</v>
      </c>
      <c r="M43" s="12"/>
      <c r="N43" s="13"/>
    </row>
    <row r="44" spans="1:14" ht="13.5" customHeight="1">
      <c r="A44" s="2">
        <v>40</v>
      </c>
      <c r="B44" s="2"/>
      <c r="C44" s="5" t="s">
        <v>27</v>
      </c>
      <c r="D44" s="16" t="s">
        <v>52</v>
      </c>
      <c r="E44" s="12">
        <f>'3.2 Balance Sheet'!AO57</f>
        <v>1102855</v>
      </c>
      <c r="F44" s="13"/>
      <c r="G44" s="12">
        <f>+'3.1 Changes'!AO64</f>
        <v>1131916</v>
      </c>
      <c r="H44" s="13"/>
      <c r="I44" s="15">
        <f t="shared" si="1"/>
        <v>-0.025674166634273243</v>
      </c>
      <c r="M44" s="12"/>
      <c r="N44" s="13"/>
    </row>
    <row r="45" spans="1:14" ht="13.5" customHeight="1">
      <c r="A45" s="5">
        <v>41</v>
      </c>
      <c r="B45" s="2"/>
      <c r="C45" s="5" t="s">
        <v>12</v>
      </c>
      <c r="D45" s="16" t="s">
        <v>52</v>
      </c>
      <c r="E45" s="12">
        <f>'3.2 Balance Sheet'!AP57</f>
        <v>795606</v>
      </c>
      <c r="F45" s="13"/>
      <c r="G45" s="12">
        <f>+'3.1 Changes'!AP64</f>
        <v>844076</v>
      </c>
      <c r="H45" s="13"/>
      <c r="I45" s="15">
        <f t="shared" si="1"/>
        <v>-0.05742373909458387</v>
      </c>
      <c r="M45" s="12"/>
      <c r="N45" s="13"/>
    </row>
    <row r="46" spans="1:14" ht="13.5" customHeight="1">
      <c r="A46" s="2">
        <v>42</v>
      </c>
      <c r="B46" s="2"/>
      <c r="C46" s="5" t="s">
        <v>8</v>
      </c>
      <c r="D46" s="16" t="s">
        <v>54</v>
      </c>
      <c r="E46" s="12">
        <f>'3.2 Balance Sheet'!AQ57</f>
        <v>630416</v>
      </c>
      <c r="F46" s="13"/>
      <c r="G46" s="12">
        <f>+'3.1 Changes'!AQ64</f>
        <v>618860</v>
      </c>
      <c r="H46" s="13"/>
      <c r="I46" s="15">
        <f t="shared" si="1"/>
        <v>0.018673043984099857</v>
      </c>
      <c r="M46" s="12"/>
      <c r="N46" s="13"/>
    </row>
    <row r="47" spans="1:14" ht="13.5" customHeight="1">
      <c r="A47" s="5">
        <v>43</v>
      </c>
      <c r="B47" s="2"/>
      <c r="C47" s="5" t="s">
        <v>6</v>
      </c>
      <c r="D47" s="16" t="s">
        <v>54</v>
      </c>
      <c r="E47" s="12">
        <f>'3.2 Balance Sheet'!AR57</f>
        <v>580017.6379999999</v>
      </c>
      <c r="F47" s="13"/>
      <c r="G47" s="12">
        <f>+'3.1 Changes'!AR64</f>
        <v>595435.258</v>
      </c>
      <c r="H47" s="13"/>
      <c r="I47" s="15">
        <f t="shared" si="1"/>
        <v>-0.025893024964269262</v>
      </c>
      <c r="M47" s="12"/>
      <c r="N47" s="13"/>
    </row>
    <row r="48" spans="1:14" ht="13.5" customHeight="1">
      <c r="A48" s="2">
        <v>44</v>
      </c>
      <c r="B48" s="2"/>
      <c r="C48" s="5" t="s">
        <v>5</v>
      </c>
      <c r="D48" s="16" t="s">
        <v>52</v>
      </c>
      <c r="E48" s="12">
        <f>'3.2 Balance Sheet'!AS57</f>
        <v>493543</v>
      </c>
      <c r="F48" s="13"/>
      <c r="G48" s="12">
        <f>+'3.1 Changes'!AS64</f>
        <v>502421</v>
      </c>
      <c r="H48" s="13"/>
      <c r="I48" s="15">
        <f t="shared" si="1"/>
        <v>-0.017670439730823384</v>
      </c>
      <c r="M48" s="12"/>
      <c r="N48" s="13"/>
    </row>
    <row r="49" spans="1:14" ht="13.5" customHeight="1">
      <c r="A49" s="5">
        <v>45</v>
      </c>
      <c r="B49" s="2"/>
      <c r="C49" s="5" t="s">
        <v>11</v>
      </c>
      <c r="D49" s="16" t="s">
        <v>54</v>
      </c>
      <c r="E49" s="12">
        <f>'3.2 Balance Sheet'!AT57</f>
        <v>469999</v>
      </c>
      <c r="F49" s="13"/>
      <c r="G49" s="12">
        <f>+'3.1 Changes'!AT64</f>
        <v>460435</v>
      </c>
      <c r="H49" s="13"/>
      <c r="I49" s="15">
        <f t="shared" si="1"/>
        <v>0.020771661580896383</v>
      </c>
      <c r="M49" s="12"/>
      <c r="N49" s="13"/>
    </row>
    <row r="50" spans="1:14" ht="13.5" customHeight="1">
      <c r="A50" s="2">
        <v>46</v>
      </c>
      <c r="B50" s="2"/>
      <c r="C50" s="5" t="s">
        <v>45</v>
      </c>
      <c r="D50" s="16" t="s">
        <v>54</v>
      </c>
      <c r="E50" s="12">
        <f>'3.2 Balance Sheet'!AU57</f>
        <v>446348.80000000005</v>
      </c>
      <c r="F50" s="13"/>
      <c r="G50" s="12">
        <f>+'3.1 Changes'!AU64</f>
        <v>445780</v>
      </c>
      <c r="H50" s="13"/>
      <c r="I50" s="15">
        <f t="shared" si="1"/>
        <v>0.0012759657230025923</v>
      </c>
      <c r="M50" s="12"/>
      <c r="N50" s="13"/>
    </row>
    <row r="51" spans="1:14" ht="13.5" customHeight="1">
      <c r="A51" s="5">
        <v>47</v>
      </c>
      <c r="B51" s="2"/>
      <c r="C51" s="5" t="s">
        <v>31</v>
      </c>
      <c r="D51" s="16" t="s">
        <v>52</v>
      </c>
      <c r="E51" s="12">
        <f>'3.2 Balance Sheet'!AV57</f>
        <v>343673</v>
      </c>
      <c r="F51" s="13"/>
      <c r="G51" s="12">
        <f>+'3.1 Changes'!AV64</f>
        <v>323835</v>
      </c>
      <c r="H51" s="13"/>
      <c r="I51" s="15">
        <f t="shared" si="1"/>
        <v>0.061259592076211566</v>
      </c>
      <c r="M51" s="12"/>
      <c r="N51" s="13"/>
    </row>
    <row r="52" spans="1:14" ht="13.5" customHeight="1">
      <c r="A52" s="2">
        <v>48</v>
      </c>
      <c r="B52" s="2"/>
      <c r="C52" s="5" t="s">
        <v>23</v>
      </c>
      <c r="D52" s="16" t="s">
        <v>52</v>
      </c>
      <c r="E52" s="12">
        <f>'3.2 Balance Sheet'!AW57</f>
        <v>186416</v>
      </c>
      <c r="F52" s="13"/>
      <c r="G52" s="12">
        <f>+'3.1 Changes'!AW64</f>
        <v>180927</v>
      </c>
      <c r="H52" s="13"/>
      <c r="I52" s="15">
        <f t="shared" si="1"/>
        <v>0.030338202700536776</v>
      </c>
      <c r="M52" s="12"/>
      <c r="N52" s="13"/>
    </row>
    <row r="53" spans="1:14" ht="13.5" customHeight="1">
      <c r="A53" s="5">
        <v>49</v>
      </c>
      <c r="B53" s="2"/>
      <c r="C53" s="5" t="s">
        <v>7</v>
      </c>
      <c r="D53" s="16" t="s">
        <v>56</v>
      </c>
      <c r="E53" s="12">
        <f>'3.2 Balance Sheet'!AX57</f>
        <v>104162</v>
      </c>
      <c r="F53" s="13"/>
      <c r="G53" s="12">
        <f>+'3.1 Changes'!AX64</f>
        <v>103756</v>
      </c>
      <c r="H53" s="13"/>
      <c r="I53" s="15">
        <f t="shared" si="1"/>
        <v>0.003913026716527268</v>
      </c>
      <c r="M53" s="12"/>
      <c r="N53" s="13"/>
    </row>
    <row r="54" spans="1:14" ht="13.5" customHeight="1">
      <c r="A54" s="2">
        <v>50</v>
      </c>
      <c r="B54" s="2"/>
      <c r="C54" s="5" t="s">
        <v>30</v>
      </c>
      <c r="D54" s="16" t="s">
        <v>52</v>
      </c>
      <c r="E54" s="12">
        <f>'3.2 Balance Sheet'!AY57</f>
        <v>39838.293999999994</v>
      </c>
      <c r="F54" s="13"/>
      <c r="G54" s="12">
        <f>+'3.1 Changes'!AY64</f>
        <v>61714.717</v>
      </c>
      <c r="H54" s="13"/>
      <c r="I54" s="15">
        <f t="shared" si="1"/>
        <v>-0.3544765991554333</v>
      </c>
      <c r="M54" s="12"/>
      <c r="N54" s="13"/>
    </row>
    <row r="55" spans="1:14" ht="13.5" customHeight="1">
      <c r="A55" s="5">
        <v>51</v>
      </c>
      <c r="B55" s="2"/>
      <c r="C55" s="5" t="s">
        <v>29</v>
      </c>
      <c r="D55" s="16" t="s">
        <v>54</v>
      </c>
      <c r="E55" s="20">
        <f>'3.2 Balance Sheet'!AZ57</f>
        <v>8860.849</v>
      </c>
      <c r="F55" s="21"/>
      <c r="G55" s="20">
        <f>+'3.1 Changes'!AZ64</f>
        <v>9144.653</v>
      </c>
      <c r="H55" s="21"/>
      <c r="I55" s="15">
        <f t="shared" si="1"/>
        <v>-0.03103496655367899</v>
      </c>
      <c r="M55" s="12"/>
      <c r="N55" s="13"/>
    </row>
    <row r="56" spans="1:13" ht="15.75" customHeight="1">
      <c r="A56" s="5"/>
      <c r="B56" s="2"/>
      <c r="C56" s="22" t="s">
        <v>507</v>
      </c>
      <c r="E56" s="12">
        <f>SUM(E5:E55)</f>
        <v>678930720.50511</v>
      </c>
      <c r="F56" s="12"/>
      <c r="G56" s="12">
        <f>SUM(G5:G55)</f>
        <v>644725953.8529999</v>
      </c>
      <c r="H56" s="13"/>
      <c r="I56" s="15">
        <f t="shared" si="1"/>
        <v>0.05305318709088125</v>
      </c>
      <c r="M56" s="12"/>
    </row>
    <row r="57" ht="4.5" customHeight="1"/>
    <row r="58" ht="12.75">
      <c r="C58" s="18" t="s">
        <v>512</v>
      </c>
    </row>
    <row r="59" spans="3:9" ht="12.75" customHeight="1">
      <c r="C59" s="19" t="s">
        <v>513</v>
      </c>
      <c r="I59" s="23"/>
    </row>
    <row r="60" spans="3:9" ht="12.75" customHeight="1">
      <c r="C60" s="19" t="s">
        <v>514</v>
      </c>
      <c r="I60" s="23"/>
    </row>
    <row r="61" spans="3:9" ht="12.75" customHeight="1">
      <c r="C61" s="19" t="s">
        <v>515</v>
      </c>
      <c r="I61" s="23"/>
    </row>
    <row r="62" ht="12.75">
      <c r="C62" s="19" t="s">
        <v>516</v>
      </c>
    </row>
    <row r="63" ht="12.75">
      <c r="E63" s="243"/>
    </row>
    <row r="64" ht="12.75">
      <c r="E64" s="243"/>
    </row>
    <row r="65" ht="12.75">
      <c r="E65" s="243"/>
    </row>
    <row r="66" ht="12.75">
      <c r="E66" s="243"/>
    </row>
    <row r="67" ht="12.75">
      <c r="E67" s="243"/>
    </row>
    <row r="68" ht="12.75">
      <c r="E68" s="243"/>
    </row>
    <row r="69" ht="12.75">
      <c r="E69" s="243"/>
    </row>
  </sheetData>
  <printOptions/>
  <pageMargins left="0.4330708661417323" right="0.31496062992125984" top="0.41" bottom="0" header="0.16" footer="0.15748031496062992"/>
  <pageSetup firstPageNumber="7" useFirstPageNumber="1" horizontalDpi="600" verticalDpi="600" orientation="portrait" paperSize="9" r:id="rId1"/>
  <headerFooter alignWithMargins="0">
    <oddHeader>&amp;C&amp;"Times New Roman,Bold"&amp;14 2.2. PENSION FUNDS LISTED BY NET ASSETS 31.12.2002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7" sqref="D57"/>
    </sheetView>
  </sheetViews>
  <sheetFormatPr defaultColWidth="9.140625" defaultRowHeight="12.75"/>
  <cols>
    <col min="1" max="1" width="2.7109375" style="14" customWidth="1"/>
    <col min="2" max="2" width="1.7109375" style="14" customWidth="1"/>
    <col min="3" max="3" width="37.421875" style="14" customWidth="1"/>
    <col min="4" max="4" width="10.57421875" style="14" customWidth="1"/>
    <col min="5" max="5" width="11.421875" style="14" customWidth="1"/>
    <col min="6" max="6" width="10.7109375" style="14" customWidth="1"/>
    <col min="7" max="7" width="11.8515625" style="14" customWidth="1"/>
    <col min="8" max="8" width="13.8515625" style="14" customWidth="1"/>
    <col min="9" max="9" width="9.140625" style="14" customWidth="1"/>
    <col min="10" max="10" width="12.421875" style="14" bestFit="1" customWidth="1"/>
    <col min="11" max="16384" width="9.140625" style="14" customWidth="1"/>
  </cols>
  <sheetData>
    <row r="1" spans="5:8" ht="12" customHeight="1">
      <c r="E1" s="279" t="s">
        <v>316</v>
      </c>
      <c r="F1" s="280"/>
      <c r="G1" s="280"/>
      <c r="H1" s="80" t="s">
        <v>312</v>
      </c>
    </row>
    <row r="2" spans="1:8" ht="12" customHeight="1">
      <c r="A2" s="2"/>
      <c r="B2" s="2"/>
      <c r="C2" s="3"/>
      <c r="D2" s="80" t="s">
        <v>305</v>
      </c>
      <c r="E2" s="80" t="s">
        <v>309</v>
      </c>
      <c r="F2" s="80" t="s">
        <v>310</v>
      </c>
      <c r="G2" s="80" t="s">
        <v>311</v>
      </c>
      <c r="H2" s="80" t="s">
        <v>315</v>
      </c>
    </row>
    <row r="3" spans="1:8" ht="12.75">
      <c r="A3" s="2"/>
      <c r="B3" s="2"/>
      <c r="C3" s="49" t="s">
        <v>317</v>
      </c>
      <c r="D3" s="79" t="s">
        <v>261</v>
      </c>
      <c r="E3" s="80" t="s">
        <v>313</v>
      </c>
      <c r="F3" s="80" t="s">
        <v>313</v>
      </c>
      <c r="G3" s="80" t="s">
        <v>314</v>
      </c>
      <c r="H3" s="80"/>
    </row>
    <row r="4" spans="1:8" ht="5.25" customHeight="1">
      <c r="A4" s="2"/>
      <c r="B4" s="2"/>
      <c r="C4" s="3"/>
      <c r="D4" s="12"/>
      <c r="E4" s="12"/>
      <c r="F4" s="12"/>
      <c r="G4" s="12"/>
      <c r="H4" s="12"/>
    </row>
    <row r="5" spans="1:8" s="25" customFormat="1" ht="12" customHeight="1">
      <c r="A5" s="2">
        <v>1</v>
      </c>
      <c r="B5" s="2"/>
      <c r="C5" s="3" t="s">
        <v>33</v>
      </c>
      <c r="D5" s="24">
        <f>'2.2 List'!E5</f>
        <v>116125953.2</v>
      </c>
      <c r="E5" s="24">
        <f aca="true" t="shared" si="0" ref="E5:E55">+D5-F5-G5-H5</f>
        <v>24388715.63200001</v>
      </c>
      <c r="F5" s="24">
        <f>+'4.1. Mutual Insurance Div.'!C128+'4.1. Mutual Insurance Div.'!D128+'4.1. Mutual Insurance Div.'!E128</f>
        <v>90274504.1</v>
      </c>
      <c r="G5" s="24"/>
      <c r="H5" s="24">
        <f>+'5.1. Personal Pension.'!B126+'5.1. Personal Pension.'!C126+'5.1. Personal Pension.'!D126</f>
        <v>1462733.4679999999</v>
      </c>
    </row>
    <row r="6" spans="1:8" s="25" customFormat="1" ht="12" customHeight="1">
      <c r="A6" s="2">
        <v>2</v>
      </c>
      <c r="B6" s="2"/>
      <c r="C6" s="3" t="s">
        <v>39</v>
      </c>
      <c r="D6" s="24">
        <f>'2.2 List'!E6</f>
        <v>101957398</v>
      </c>
      <c r="E6" s="24">
        <f t="shared" si="0"/>
        <v>100888432.95</v>
      </c>
      <c r="F6" s="24"/>
      <c r="G6" s="24"/>
      <c r="H6" s="24">
        <f>+'5.1. Personal Pension.'!E126</f>
        <v>1068965.05</v>
      </c>
    </row>
    <row r="7" spans="1:8" s="25" customFormat="1" ht="12" customHeight="1">
      <c r="A7" s="2">
        <v>3</v>
      </c>
      <c r="B7" s="2"/>
      <c r="C7" s="3" t="s">
        <v>43</v>
      </c>
      <c r="D7" s="24">
        <f>'2.2 List'!E7</f>
        <v>53673365.472</v>
      </c>
      <c r="E7" s="24">
        <f t="shared" si="0"/>
        <v>53406842.75</v>
      </c>
      <c r="F7" s="24"/>
      <c r="G7" s="24"/>
      <c r="H7" s="24">
        <f>+'5.1. Personal Pension.'!F126+'5.1. Personal Pension.'!G126</f>
        <v>266522.722</v>
      </c>
    </row>
    <row r="8" spans="1:10" s="25" customFormat="1" ht="12" customHeight="1">
      <c r="A8" s="2">
        <v>4</v>
      </c>
      <c r="B8" s="2"/>
      <c r="C8" s="3" t="s">
        <v>26</v>
      </c>
      <c r="D8" s="24">
        <f>'2.2 List'!E8</f>
        <v>47062605</v>
      </c>
      <c r="E8" s="24">
        <f>+D8-F8-G8-H8</f>
        <v>46993999.783</v>
      </c>
      <c r="F8" s="24"/>
      <c r="G8" s="24"/>
      <c r="H8" s="39">
        <f>+'5.1. Personal Pension.'!H71+'5.1. Personal Pension.'!I71+'5.1. Personal Pension.'!J71</f>
        <v>68605.217</v>
      </c>
      <c r="J8" s="234"/>
    </row>
    <row r="9" spans="1:8" s="25" customFormat="1" ht="12" customHeight="1">
      <c r="A9" s="2">
        <v>5</v>
      </c>
      <c r="B9" s="2"/>
      <c r="C9" s="3" t="s">
        <v>46</v>
      </c>
      <c r="D9" s="24">
        <f>'2.2 List'!E9</f>
        <v>46039937.1</v>
      </c>
      <c r="E9" s="24">
        <f t="shared" si="0"/>
        <v>44937138.1</v>
      </c>
      <c r="F9" s="24"/>
      <c r="G9" s="24">
        <f>+'4.1. Mutual Insurance Div.'!J128</f>
        <v>549756</v>
      </c>
      <c r="H9" s="39">
        <f>+'5.1. Personal Pension.'!K71+'5.1. Personal Pension.'!L71</f>
        <v>553043</v>
      </c>
    </row>
    <row r="10" spans="1:8" s="25" customFormat="1" ht="12" customHeight="1">
      <c r="A10" s="2">
        <v>6</v>
      </c>
      <c r="B10" s="2"/>
      <c r="C10" s="3" t="s">
        <v>24</v>
      </c>
      <c r="D10" s="24">
        <f>'2.2 List'!E10</f>
        <v>28378311</v>
      </c>
      <c r="E10" s="24">
        <f t="shared" si="0"/>
        <v>27937021</v>
      </c>
      <c r="F10" s="24"/>
      <c r="G10" s="24"/>
      <c r="H10" s="39">
        <f>+'5.1. Personal Pension.'!M71+'5.1. Personal Pension.'!N71</f>
        <v>441290</v>
      </c>
    </row>
    <row r="11" spans="1:8" s="25" customFormat="1" ht="12" customHeight="1">
      <c r="A11" s="2">
        <v>7</v>
      </c>
      <c r="B11" s="2"/>
      <c r="C11" s="3" t="s">
        <v>49</v>
      </c>
      <c r="D11" s="24">
        <f>'2.2 List'!E11</f>
        <v>23939624</v>
      </c>
      <c r="E11" s="24">
        <f t="shared" si="0"/>
        <v>23866861</v>
      </c>
      <c r="F11" s="24"/>
      <c r="G11" s="24"/>
      <c r="H11" s="39">
        <f>+'5.1. Personal Pension.'!O71</f>
        <v>72763</v>
      </c>
    </row>
    <row r="12" spans="1:8" s="25" customFormat="1" ht="12" customHeight="1">
      <c r="A12" s="2">
        <v>8</v>
      </c>
      <c r="B12" s="2"/>
      <c r="C12" s="3" t="s">
        <v>15</v>
      </c>
      <c r="D12" s="24">
        <f>'2.2 List'!E12</f>
        <v>19789062.2</v>
      </c>
      <c r="E12" s="24">
        <f t="shared" si="0"/>
        <v>3601324.1999999993</v>
      </c>
      <c r="F12" s="24">
        <f>+'4.1. Mutual Insurance Div.'!M128</f>
        <v>16187738</v>
      </c>
      <c r="G12" s="24"/>
      <c r="H12" s="39"/>
    </row>
    <row r="13" spans="1:8" s="25" customFormat="1" ht="12" customHeight="1">
      <c r="A13" s="2">
        <v>9</v>
      </c>
      <c r="B13" s="2"/>
      <c r="C13" s="3" t="s">
        <v>9</v>
      </c>
      <c r="D13" s="24">
        <f>'2.2 List'!E13</f>
        <v>19680484</v>
      </c>
      <c r="E13" s="241">
        <f>+D13-F13-G13-H13</f>
        <v>0</v>
      </c>
      <c r="F13" s="24"/>
      <c r="G13" s="24">
        <f>+'4.1. Mutual Insurance Div.'!O128</f>
        <v>1876502</v>
      </c>
      <c r="H13" s="39">
        <f>+SUM('5.1. Personal Pension.'!P71:R71)</f>
        <v>17803982</v>
      </c>
    </row>
    <row r="14" spans="1:8" s="25" customFormat="1" ht="12" customHeight="1">
      <c r="A14" s="2">
        <v>10</v>
      </c>
      <c r="B14" s="2"/>
      <c r="C14" s="3" t="s">
        <v>44</v>
      </c>
      <c r="D14" s="24">
        <f>'2.2 List'!E14</f>
        <v>18980901</v>
      </c>
      <c r="E14" s="242">
        <f t="shared" si="0"/>
        <v>0</v>
      </c>
      <c r="F14" s="24"/>
      <c r="G14" s="24">
        <f>+'4.1. Mutual Insurance Div.'!P72</f>
        <v>18770269</v>
      </c>
      <c r="H14" s="39">
        <f>+SUM('5.1. Personal Pension.'!S71:T71)</f>
        <v>210632</v>
      </c>
    </row>
    <row r="15" spans="1:8" s="25" customFormat="1" ht="12" customHeight="1">
      <c r="A15" s="2">
        <v>11</v>
      </c>
      <c r="B15" s="2"/>
      <c r="C15" s="3" t="s">
        <v>47</v>
      </c>
      <c r="D15" s="24">
        <f>'2.2 List'!E15</f>
        <v>17651900.621</v>
      </c>
      <c r="E15" s="24">
        <f t="shared" si="0"/>
        <v>15843573.621</v>
      </c>
      <c r="F15" s="24"/>
      <c r="G15" s="24">
        <f>+'4.1. Mutual Insurance Div.'!R128</f>
        <v>996601</v>
      </c>
      <c r="H15" s="39">
        <f>+'5.1. Personal Pension.'!U71</f>
        <v>811726</v>
      </c>
    </row>
    <row r="16" spans="1:8" s="25" customFormat="1" ht="12" customHeight="1">
      <c r="A16" s="2">
        <v>12</v>
      </c>
      <c r="B16" s="2"/>
      <c r="C16" s="3" t="s">
        <v>14</v>
      </c>
      <c r="D16" s="24">
        <f>'2.2 List'!E16</f>
        <v>13242462.412999999</v>
      </c>
      <c r="E16" s="24">
        <f t="shared" si="0"/>
        <v>13235380.068999998</v>
      </c>
      <c r="F16" s="24"/>
      <c r="G16" s="24"/>
      <c r="H16" s="39">
        <f>+'5.1. Personal Pension.'!V71</f>
        <v>7082.344000000001</v>
      </c>
    </row>
    <row r="17" spans="1:8" s="25" customFormat="1" ht="12" customHeight="1">
      <c r="A17" s="2">
        <v>13</v>
      </c>
      <c r="B17" s="2"/>
      <c r="C17" s="3" t="s">
        <v>21</v>
      </c>
      <c r="D17" s="24">
        <f>'2.2 List'!E17</f>
        <v>13009800.5481</v>
      </c>
      <c r="E17" s="241">
        <f>+D17-F17-G17-H17</f>
        <v>0</v>
      </c>
      <c r="F17" s="39"/>
      <c r="G17" s="39">
        <f>+'3.2 Balance Sheet'!N57</f>
        <v>13009800.5481</v>
      </c>
      <c r="H17" s="39"/>
    </row>
    <row r="18" spans="1:8" s="25" customFormat="1" ht="12" customHeight="1">
      <c r="A18" s="2">
        <v>14</v>
      </c>
      <c r="B18" s="2"/>
      <c r="C18" s="3" t="s">
        <v>40</v>
      </c>
      <c r="D18" s="24">
        <f>'2.2 List'!E18</f>
        <v>12906767</v>
      </c>
      <c r="E18" s="24">
        <f t="shared" si="0"/>
        <v>12857033</v>
      </c>
      <c r="F18" s="24"/>
      <c r="G18" s="24"/>
      <c r="H18" s="39">
        <f>+'5.1. Personal Pension.'!W71</f>
        <v>49734</v>
      </c>
    </row>
    <row r="19" spans="1:8" s="25" customFormat="1" ht="12" customHeight="1">
      <c r="A19" s="2">
        <v>15</v>
      </c>
      <c r="B19" s="2"/>
      <c r="C19" s="3" t="s">
        <v>0</v>
      </c>
      <c r="D19" s="24">
        <f>'2.2 List'!E19</f>
        <v>12715335.302</v>
      </c>
      <c r="E19" s="241">
        <f>+D19-F19-G19-H19</f>
        <v>-0.0010000020265579224</v>
      </c>
      <c r="F19" s="24"/>
      <c r="G19" s="24">
        <f>+'4.1. Mutual Insurance Div.'!W128</f>
        <v>1762963.7189999998</v>
      </c>
      <c r="H19" s="39">
        <f>+SUM('5.1. Personal Pension.'!X71:AA71)</f>
        <v>10952371.584</v>
      </c>
    </row>
    <row r="20" spans="1:8" s="25" customFormat="1" ht="12" customHeight="1">
      <c r="A20" s="2">
        <v>16</v>
      </c>
      <c r="B20" s="2"/>
      <c r="C20" s="3" t="s">
        <v>38</v>
      </c>
      <c r="D20" s="24">
        <f>'2.2 List'!E20</f>
        <v>12011905.132</v>
      </c>
      <c r="E20" s="241">
        <f t="shared" si="0"/>
        <v>-0.000999998941551894</v>
      </c>
      <c r="F20" s="39"/>
      <c r="G20" s="39">
        <f>+'4.1. Mutual Insurance Div.'!X128</f>
        <v>11653719.136999998</v>
      </c>
      <c r="H20" s="39">
        <f>+'5.1. Personal Pension.'!AB71</f>
        <v>358185.996</v>
      </c>
    </row>
    <row r="21" spans="1:8" s="25" customFormat="1" ht="12" customHeight="1">
      <c r="A21" s="2">
        <v>17</v>
      </c>
      <c r="B21" s="2"/>
      <c r="C21" s="3" t="s">
        <v>36</v>
      </c>
      <c r="D21" s="24">
        <f>'2.2 List'!E21</f>
        <v>11770636</v>
      </c>
      <c r="E21" s="24">
        <f>+D21-F21-G21-H21</f>
        <v>11770636</v>
      </c>
      <c r="F21" s="24"/>
      <c r="G21" s="24"/>
      <c r="H21" s="39"/>
    </row>
    <row r="22" spans="1:8" s="25" customFormat="1" ht="12" customHeight="1">
      <c r="A22" s="2">
        <v>18</v>
      </c>
      <c r="B22" s="2"/>
      <c r="C22" s="3" t="s">
        <v>17</v>
      </c>
      <c r="D22" s="24">
        <f>'2.2 List'!E22</f>
        <v>11387964</v>
      </c>
      <c r="E22" s="24">
        <f t="shared" si="0"/>
        <v>11387964</v>
      </c>
      <c r="F22" s="24"/>
      <c r="G22" s="24"/>
      <c r="H22" s="39"/>
    </row>
    <row r="23" spans="1:10" s="25" customFormat="1" ht="12" customHeight="1">
      <c r="A23" s="2">
        <v>19</v>
      </c>
      <c r="B23" s="2"/>
      <c r="C23" s="3" t="s">
        <v>41</v>
      </c>
      <c r="D23" s="24">
        <f>'2.2 List'!E23</f>
        <v>11356951.4</v>
      </c>
      <c r="E23" s="24">
        <f t="shared" si="0"/>
        <v>11330828.6</v>
      </c>
      <c r="F23" s="24"/>
      <c r="G23" s="24"/>
      <c r="H23" s="39">
        <f>+'5.1. Personal Pension.'!AC71+'5.1. Personal Pension.'!AD71</f>
        <v>26122.799999999996</v>
      </c>
      <c r="J23" s="39"/>
    </row>
    <row r="24" spans="1:8" s="25" customFormat="1" ht="12" customHeight="1">
      <c r="A24" s="2">
        <v>20</v>
      </c>
      <c r="B24" s="2"/>
      <c r="C24" s="3" t="s">
        <v>20</v>
      </c>
      <c r="D24" s="24">
        <f>'2.2 List'!E24</f>
        <v>10495947.99</v>
      </c>
      <c r="E24" s="241">
        <f t="shared" si="0"/>
        <v>0</v>
      </c>
      <c r="F24" s="24">
        <f>+'3.2 Balance Sheet'!U57</f>
        <v>10495947.99</v>
      </c>
      <c r="G24" s="24"/>
      <c r="H24" s="39"/>
    </row>
    <row r="25" spans="1:8" s="25" customFormat="1" ht="12" customHeight="1">
      <c r="A25" s="2">
        <v>21</v>
      </c>
      <c r="B25" s="2"/>
      <c r="C25" s="3" t="s">
        <v>42</v>
      </c>
      <c r="D25" s="24">
        <f>'2.2 List'!E25</f>
        <v>8261145.30001</v>
      </c>
      <c r="E25" s="24">
        <f t="shared" si="0"/>
        <v>8245499.000010001</v>
      </c>
      <c r="F25" s="24"/>
      <c r="G25" s="24"/>
      <c r="H25" s="39">
        <f>+'5.1. Personal Pension.'!AE71</f>
        <v>15646.3</v>
      </c>
    </row>
    <row r="26" spans="1:8" s="25" customFormat="1" ht="12" customHeight="1">
      <c r="A26" s="2">
        <v>22</v>
      </c>
      <c r="B26" s="2"/>
      <c r="C26" s="3" t="s">
        <v>4</v>
      </c>
      <c r="D26" s="24">
        <f>'2.2 List'!E26</f>
        <v>7824992</v>
      </c>
      <c r="E26" s="24">
        <f t="shared" si="0"/>
        <v>7820200</v>
      </c>
      <c r="F26" s="24"/>
      <c r="G26" s="24"/>
      <c r="H26" s="39">
        <f>+'5.1. Personal Pension.'!AF71</f>
        <v>4792</v>
      </c>
    </row>
    <row r="27" spans="1:8" s="25" customFormat="1" ht="12" customHeight="1">
      <c r="A27" s="2">
        <v>23</v>
      </c>
      <c r="B27" s="2"/>
      <c r="C27" s="3" t="s">
        <v>13</v>
      </c>
      <c r="D27" s="24">
        <f>'2.2 List'!E27</f>
        <v>6769008.6</v>
      </c>
      <c r="E27" s="241">
        <f t="shared" si="0"/>
        <v>-0.6000000005587935</v>
      </c>
      <c r="F27" s="39"/>
      <c r="G27" s="39">
        <f>+'4.1. Mutual Insurance Div.'!AE72</f>
        <v>1440074.8</v>
      </c>
      <c r="H27" s="39">
        <f>+'5.1. Personal Pension.'!AG71</f>
        <v>5328934.4</v>
      </c>
    </row>
    <row r="28" spans="1:8" s="25" customFormat="1" ht="12" customHeight="1">
      <c r="A28" s="2">
        <v>24</v>
      </c>
      <c r="B28" s="2"/>
      <c r="C28" s="3" t="s">
        <v>28</v>
      </c>
      <c r="D28" s="24">
        <f>'2.2 List'!E28</f>
        <v>6712215.9180000005</v>
      </c>
      <c r="E28" s="241">
        <f t="shared" si="0"/>
        <v>0</v>
      </c>
      <c r="F28" s="24">
        <f>+'3.2 Balance Sheet'!Y57</f>
        <v>6712215.9180000005</v>
      </c>
      <c r="G28" s="24"/>
      <c r="H28" s="39"/>
    </row>
    <row r="29" spans="1:8" s="25" customFormat="1" ht="12" customHeight="1">
      <c r="A29" s="2">
        <v>25</v>
      </c>
      <c r="B29" s="2"/>
      <c r="C29" s="3" t="s">
        <v>10</v>
      </c>
      <c r="D29" s="24">
        <f>'2.2 List'!E29</f>
        <v>5928452.039</v>
      </c>
      <c r="E29" s="241">
        <f>+D29-F29-G29-H29</f>
        <v>-0.004999999888241291</v>
      </c>
      <c r="F29" s="24"/>
      <c r="G29" s="24">
        <f>+'4.1. Mutual Insurance Div.'!AG72</f>
        <v>444155.31299999997</v>
      </c>
      <c r="H29" s="39">
        <f>+SUM('5.1. Personal Pension.'!AH71:AJ71)</f>
        <v>5484296.731</v>
      </c>
    </row>
    <row r="30" spans="1:8" s="25" customFormat="1" ht="12" customHeight="1">
      <c r="A30" s="2">
        <v>26</v>
      </c>
      <c r="B30" s="2"/>
      <c r="C30" s="3" t="s">
        <v>35</v>
      </c>
      <c r="D30" s="24">
        <f>'2.2 List'!E30</f>
        <v>5461015.597999999</v>
      </c>
      <c r="E30" s="24">
        <f t="shared" si="0"/>
        <v>5461015.597999999</v>
      </c>
      <c r="F30" s="24"/>
      <c r="G30" s="24"/>
      <c r="H30" s="39"/>
    </row>
    <row r="31" spans="1:8" s="25" customFormat="1" ht="12" customHeight="1">
      <c r="A31" s="2">
        <v>27</v>
      </c>
      <c r="B31" s="2"/>
      <c r="C31" s="5" t="s">
        <v>34</v>
      </c>
      <c r="D31" s="24">
        <f>'2.2 List'!E31</f>
        <v>4830217</v>
      </c>
      <c r="E31" s="241">
        <f>+D31-F31-G31-H31</f>
        <v>0</v>
      </c>
      <c r="F31" s="39">
        <f>+'4.1. Mutual Insurance Div.'!AI72</f>
        <v>4266487</v>
      </c>
      <c r="G31" s="39">
        <f>+'4.1. Mutual Insurance Div.'!AJ72</f>
        <v>366463</v>
      </c>
      <c r="H31" s="39">
        <f>+SUM('5.1. Personal Pension.'!AK71:AM71)</f>
        <v>197267</v>
      </c>
    </row>
    <row r="32" spans="1:8" s="25" customFormat="1" ht="12" customHeight="1">
      <c r="A32" s="2">
        <v>28</v>
      </c>
      <c r="B32" s="2"/>
      <c r="C32" s="5" t="s">
        <v>48</v>
      </c>
      <c r="D32" s="24">
        <f>'2.2 List'!E32</f>
        <v>3747214.9</v>
      </c>
      <c r="E32" s="241">
        <f>+D32-F32-G32-H32</f>
        <v>-1.1000000000931323</v>
      </c>
      <c r="F32" s="24"/>
      <c r="G32" s="24">
        <f>+'4.1. Mutual Insurance Div.'!AK72</f>
        <v>298384</v>
      </c>
      <c r="H32" s="39">
        <f>+SUM('5.1. Personal Pension.'!AN71:AQ71)</f>
        <v>3448832</v>
      </c>
    </row>
    <row r="33" spans="1:8" s="25" customFormat="1" ht="12" customHeight="1">
      <c r="A33" s="2">
        <v>29</v>
      </c>
      <c r="B33" s="2"/>
      <c r="C33" s="3" t="s">
        <v>32</v>
      </c>
      <c r="D33" s="24">
        <f>'2.2 List'!E33</f>
        <v>3549915</v>
      </c>
      <c r="E33" s="241">
        <f t="shared" si="0"/>
        <v>0</v>
      </c>
      <c r="F33" s="24">
        <f>+'3.2 Balance Sheet'!AD57</f>
        <v>3549915</v>
      </c>
      <c r="G33" s="24"/>
      <c r="H33" s="24"/>
    </row>
    <row r="34" spans="1:8" s="25" customFormat="1" ht="12" customHeight="1">
      <c r="A34" s="2">
        <v>30</v>
      </c>
      <c r="B34" s="2"/>
      <c r="C34" s="3" t="s">
        <v>3</v>
      </c>
      <c r="D34" s="24">
        <f>'2.2 List'!E34</f>
        <v>2711576</v>
      </c>
      <c r="E34" s="241">
        <f t="shared" si="0"/>
        <v>0</v>
      </c>
      <c r="F34" s="24">
        <f>+'3.2 Balance Sheet'!AE57</f>
        <v>2711576</v>
      </c>
      <c r="G34" s="24"/>
      <c r="H34" s="24"/>
    </row>
    <row r="35" spans="1:8" s="25" customFormat="1" ht="12" customHeight="1">
      <c r="A35" s="2">
        <v>31</v>
      </c>
      <c r="B35" s="2"/>
      <c r="C35" s="3" t="s">
        <v>18</v>
      </c>
      <c r="D35" s="24">
        <f>'2.2 List'!E35</f>
        <v>2626241</v>
      </c>
      <c r="E35" s="24">
        <f t="shared" si="0"/>
        <v>2626241</v>
      </c>
      <c r="F35" s="24"/>
      <c r="G35" s="24"/>
      <c r="H35" s="24"/>
    </row>
    <row r="36" spans="1:8" s="25" customFormat="1" ht="12" customHeight="1">
      <c r="A36" s="2">
        <v>32</v>
      </c>
      <c r="B36" s="2"/>
      <c r="C36" s="3" t="s">
        <v>25</v>
      </c>
      <c r="D36" s="24">
        <f>'2.2 List'!E36</f>
        <v>2385923.8600000003</v>
      </c>
      <c r="E36" s="24">
        <f t="shared" si="0"/>
        <v>2383501.9600000004</v>
      </c>
      <c r="F36" s="24"/>
      <c r="G36" s="24"/>
      <c r="H36" s="24">
        <f>+'5.1. Personal Pension.'!AR71</f>
        <v>2421.9</v>
      </c>
    </row>
    <row r="37" spans="1:8" s="25" customFormat="1" ht="12" customHeight="1">
      <c r="A37" s="2">
        <v>33</v>
      </c>
      <c r="B37" s="2"/>
      <c r="C37" s="3" t="s">
        <v>19</v>
      </c>
      <c r="D37" s="24">
        <f>'2.2 List'!E37</f>
        <v>2108793</v>
      </c>
      <c r="E37" s="24">
        <f t="shared" si="0"/>
        <v>2108793</v>
      </c>
      <c r="F37" s="24"/>
      <c r="G37" s="24"/>
      <c r="H37" s="24"/>
    </row>
    <row r="38" spans="1:8" s="25" customFormat="1" ht="12" customHeight="1">
      <c r="A38" s="2">
        <v>34</v>
      </c>
      <c r="B38" s="2"/>
      <c r="C38" s="3" t="s">
        <v>16</v>
      </c>
      <c r="D38" s="24">
        <f>'2.2 List'!E38</f>
        <v>2003247.1639999999</v>
      </c>
      <c r="E38" s="24">
        <f t="shared" si="0"/>
        <v>2003247.1639999999</v>
      </c>
      <c r="F38" s="24"/>
      <c r="G38" s="24"/>
      <c r="H38" s="24"/>
    </row>
    <row r="39" spans="1:8" s="25" customFormat="1" ht="12" customHeight="1">
      <c r="A39" s="2">
        <v>35</v>
      </c>
      <c r="B39" s="2"/>
      <c r="C39" s="3" t="s">
        <v>251</v>
      </c>
      <c r="D39" s="24">
        <f>'2.2 List'!E39</f>
        <v>1408018.796</v>
      </c>
      <c r="E39" s="241">
        <f t="shared" si="0"/>
        <v>0</v>
      </c>
      <c r="F39" s="24">
        <f>+'4.1. Mutual Insurance Div.'!AS72</f>
        <v>1408018.796</v>
      </c>
      <c r="G39" s="24"/>
      <c r="H39" s="24"/>
    </row>
    <row r="40" spans="1:8" s="25" customFormat="1" ht="12" customHeight="1">
      <c r="A40" s="2">
        <v>36</v>
      </c>
      <c r="B40" s="2"/>
      <c r="C40" s="3" t="s">
        <v>1</v>
      </c>
      <c r="D40" s="24">
        <f>'2.2 List'!E40</f>
        <v>1345421</v>
      </c>
      <c r="E40" s="24">
        <f t="shared" si="0"/>
        <v>1345421</v>
      </c>
      <c r="F40" s="24"/>
      <c r="G40" s="24"/>
      <c r="H40" s="24"/>
    </row>
    <row r="41" spans="1:8" s="25" customFormat="1" ht="12" customHeight="1">
      <c r="A41" s="2">
        <v>37</v>
      </c>
      <c r="B41" s="2"/>
      <c r="C41" s="5" t="s">
        <v>37</v>
      </c>
      <c r="D41" s="24">
        <f>'2.2 List'!E41</f>
        <v>1319620</v>
      </c>
      <c r="E41" s="241">
        <f>+D41-F41-G41-H41</f>
        <v>0</v>
      </c>
      <c r="F41" s="24"/>
      <c r="G41" s="24">
        <f>+'4.1. Mutual Insurance Div.'!AU72</f>
        <v>83137</v>
      </c>
      <c r="H41" s="39">
        <f>+'5.1. Personal Pension.'!AS71</f>
        <v>1236483</v>
      </c>
    </row>
    <row r="42" spans="1:8" s="25" customFormat="1" ht="12" customHeight="1">
      <c r="A42" s="2">
        <v>38</v>
      </c>
      <c r="B42" s="2"/>
      <c r="C42" s="5" t="s">
        <v>2</v>
      </c>
      <c r="D42" s="24">
        <f>'2.2 List'!E42</f>
        <v>1308119.371</v>
      </c>
      <c r="E42" s="241">
        <f t="shared" si="0"/>
        <v>0</v>
      </c>
      <c r="F42" s="24">
        <f>+'4.1. Mutual Insurance Div.'!AV72</f>
        <v>1308119.371</v>
      </c>
      <c r="G42" s="24"/>
      <c r="H42" s="24"/>
    </row>
    <row r="43" spans="1:8" s="25" customFormat="1" ht="12" customHeight="1">
      <c r="A43" s="2">
        <v>39</v>
      </c>
      <c r="B43" s="2"/>
      <c r="C43" s="5" t="s">
        <v>22</v>
      </c>
      <c r="D43" s="24">
        <f>'2.2 List'!E43</f>
        <v>1250537</v>
      </c>
      <c r="E43" s="24">
        <f t="shared" si="0"/>
        <v>1250537</v>
      </c>
      <c r="F43" s="24"/>
      <c r="G43" s="24"/>
      <c r="H43" s="24"/>
    </row>
    <row r="44" spans="1:8" s="25" customFormat="1" ht="12" customHeight="1">
      <c r="A44" s="2">
        <v>40</v>
      </c>
      <c r="B44" s="2"/>
      <c r="C44" s="5" t="s">
        <v>27</v>
      </c>
      <c r="D44" s="24">
        <f>'2.2 List'!E44</f>
        <v>1102855</v>
      </c>
      <c r="E44" s="241">
        <f t="shared" si="0"/>
        <v>-0.39999999990686774</v>
      </c>
      <c r="F44" s="24">
        <f>+'4.1. Mutual Insurance Div.'!AX128</f>
        <v>1102855.4</v>
      </c>
      <c r="G44" s="24"/>
      <c r="H44" s="24"/>
    </row>
    <row r="45" spans="1:8" s="25" customFormat="1" ht="12" customHeight="1">
      <c r="A45" s="2">
        <v>41</v>
      </c>
      <c r="B45" s="2"/>
      <c r="C45" s="5" t="s">
        <v>12</v>
      </c>
      <c r="D45" s="24">
        <f>'2.2 List'!E45</f>
        <v>795606</v>
      </c>
      <c r="E45" s="241">
        <f t="shared" si="0"/>
        <v>0</v>
      </c>
      <c r="F45" s="24">
        <f>+'4.1. Mutual Insurance Div.'!AY128</f>
        <v>795606</v>
      </c>
      <c r="G45" s="24"/>
      <c r="H45" s="24"/>
    </row>
    <row r="46" spans="1:8" s="25" customFormat="1" ht="12" customHeight="1">
      <c r="A46" s="2">
        <v>42</v>
      </c>
      <c r="B46" s="2"/>
      <c r="C46" s="5" t="s">
        <v>8</v>
      </c>
      <c r="D46" s="24">
        <f>'2.2 List'!E46</f>
        <v>630416</v>
      </c>
      <c r="E46" s="24">
        <f t="shared" si="0"/>
        <v>630416</v>
      </c>
      <c r="F46" s="24"/>
      <c r="G46" s="24"/>
      <c r="H46" s="24"/>
    </row>
    <row r="47" spans="1:8" s="25" customFormat="1" ht="12" customHeight="1">
      <c r="A47" s="2">
        <v>43</v>
      </c>
      <c r="B47" s="2"/>
      <c r="C47" s="5" t="s">
        <v>6</v>
      </c>
      <c r="D47" s="24">
        <f>'2.2 List'!E47</f>
        <v>580017.6379999999</v>
      </c>
      <c r="E47" s="24">
        <f t="shared" si="0"/>
        <v>580017.6379999999</v>
      </c>
      <c r="F47" s="24"/>
      <c r="G47" s="24"/>
      <c r="H47" s="24"/>
    </row>
    <row r="48" spans="1:8" s="25" customFormat="1" ht="12" customHeight="1">
      <c r="A48" s="2">
        <v>44</v>
      </c>
      <c r="B48" s="2"/>
      <c r="C48" s="5" t="s">
        <v>5</v>
      </c>
      <c r="D48" s="24">
        <f>'2.2 List'!E48</f>
        <v>493543</v>
      </c>
      <c r="E48" s="241">
        <f t="shared" si="0"/>
        <v>0</v>
      </c>
      <c r="F48" s="24">
        <f>+'4.1. Mutual Insurance Div.'!BB128</f>
        <v>493543</v>
      </c>
      <c r="G48" s="24"/>
      <c r="H48" s="24"/>
    </row>
    <row r="49" spans="1:8" s="25" customFormat="1" ht="12" customHeight="1">
      <c r="A49" s="2">
        <v>45</v>
      </c>
      <c r="B49" s="2"/>
      <c r="C49" s="5" t="s">
        <v>11</v>
      </c>
      <c r="D49" s="24">
        <f>'2.2 List'!E49</f>
        <v>469999</v>
      </c>
      <c r="E49" s="24">
        <f t="shared" si="0"/>
        <v>469999</v>
      </c>
      <c r="F49" s="24"/>
      <c r="G49" s="24"/>
      <c r="H49" s="24"/>
    </row>
    <row r="50" spans="1:8" s="25" customFormat="1" ht="12" customHeight="1">
      <c r="A50" s="2">
        <v>46</v>
      </c>
      <c r="B50" s="2"/>
      <c r="C50" s="5" t="s">
        <v>45</v>
      </c>
      <c r="D50" s="24">
        <f>'2.2 List'!E50</f>
        <v>446348.80000000005</v>
      </c>
      <c r="E50" s="24">
        <f t="shared" si="0"/>
        <v>446348.80000000005</v>
      </c>
      <c r="F50" s="24"/>
      <c r="G50" s="24"/>
      <c r="H50" s="24"/>
    </row>
    <row r="51" spans="1:8" s="25" customFormat="1" ht="12" customHeight="1">
      <c r="A51" s="2">
        <v>47</v>
      </c>
      <c r="B51" s="2"/>
      <c r="C51" s="215" t="s">
        <v>31</v>
      </c>
      <c r="D51" s="24">
        <f>'2.2 List'!E51</f>
        <v>343673</v>
      </c>
      <c r="E51" s="241">
        <f t="shared" si="0"/>
        <v>0</v>
      </c>
      <c r="F51" s="24">
        <f>+'4.1. Mutual Insurance Div.'!BE128</f>
        <v>343673</v>
      </c>
      <c r="G51" s="24"/>
      <c r="H51" s="24"/>
    </row>
    <row r="52" spans="1:8" s="25" customFormat="1" ht="12" customHeight="1">
      <c r="A52" s="2">
        <v>48</v>
      </c>
      <c r="B52" s="2"/>
      <c r="C52" s="5" t="s">
        <v>23</v>
      </c>
      <c r="D52" s="24">
        <f>'2.2 List'!E52</f>
        <v>186416</v>
      </c>
      <c r="E52" s="241">
        <f t="shared" si="0"/>
        <v>0</v>
      </c>
      <c r="F52" s="24">
        <f>+'4.1. Mutual Insurance Div.'!BF128</f>
        <v>186416</v>
      </c>
      <c r="G52" s="24"/>
      <c r="H52" s="24"/>
    </row>
    <row r="53" spans="1:8" s="25" customFormat="1" ht="12" customHeight="1">
      <c r="A53" s="2">
        <v>49</v>
      </c>
      <c r="B53" s="2"/>
      <c r="C53" s="5" t="s">
        <v>7</v>
      </c>
      <c r="D53" s="24">
        <f>'2.2 List'!E53</f>
        <v>104162</v>
      </c>
      <c r="E53" s="241">
        <f t="shared" si="0"/>
        <v>-1.3999999999941792</v>
      </c>
      <c r="F53" s="24">
        <f>+'4.1. Mutual Insurance Div.'!BG128</f>
        <v>104163.4</v>
      </c>
      <c r="G53" s="24"/>
      <c r="H53" s="24"/>
    </row>
    <row r="54" spans="1:8" s="25" customFormat="1" ht="12" customHeight="1">
      <c r="A54" s="2">
        <v>50</v>
      </c>
      <c r="B54" s="2"/>
      <c r="C54" s="5" t="s">
        <v>30</v>
      </c>
      <c r="D54" s="24">
        <f>'2.2 List'!E54</f>
        <v>39838.293999999994</v>
      </c>
      <c r="E54" s="241">
        <f t="shared" si="0"/>
        <v>0</v>
      </c>
      <c r="F54" s="24">
        <f>+'4.1. Mutual Insurance Div.'!BH128</f>
        <v>39838.293999999994</v>
      </c>
      <c r="G54" s="24"/>
      <c r="H54" s="24"/>
    </row>
    <row r="55" spans="1:8" s="25" customFormat="1" ht="12" customHeight="1">
      <c r="A55" s="2">
        <v>51</v>
      </c>
      <c r="B55" s="2"/>
      <c r="C55" s="5" t="s">
        <v>29</v>
      </c>
      <c r="D55" s="24">
        <f>'2.2 List'!E55</f>
        <v>8860.849</v>
      </c>
      <c r="E55" s="241">
        <f t="shared" si="0"/>
        <v>0</v>
      </c>
      <c r="F55" s="24">
        <f>+'4.1. Mutual Insurance Div.'!BI128</f>
        <v>8860.849</v>
      </c>
      <c r="G55" s="24"/>
      <c r="H55" s="24"/>
    </row>
    <row r="56" spans="1:8" ht="15" customHeight="1" thickBot="1">
      <c r="A56" s="5"/>
      <c r="B56" s="17"/>
      <c r="C56" s="22" t="s">
        <v>524</v>
      </c>
      <c r="D56" s="26">
        <f>SUM(D5:D55)</f>
        <v>678930720.50511</v>
      </c>
      <c r="E56" s="26">
        <f>SUM(E5:E55)</f>
        <v>437816984.35801005</v>
      </c>
      <c r="F56" s="26">
        <f>SUM(F5:F55)</f>
        <v>139989478.118</v>
      </c>
      <c r="G56" s="26">
        <f>SUM(G5:G55)</f>
        <v>51251825.5171</v>
      </c>
      <c r="H56" s="26">
        <f>SUM(H5:H55)</f>
        <v>49872432.511999995</v>
      </c>
    </row>
    <row r="57" spans="1:8" ht="4.5" customHeight="1" thickTop="1">
      <c r="A57" s="5"/>
      <c r="B57" s="17"/>
      <c r="C57" s="22"/>
      <c r="D57" s="13"/>
      <c r="E57" s="13"/>
      <c r="F57" s="13"/>
      <c r="G57" s="13"/>
      <c r="H57" s="13"/>
    </row>
    <row r="58" ht="6.75" customHeight="1"/>
    <row r="59" ht="12.75">
      <c r="A59" s="244" t="s">
        <v>318</v>
      </c>
    </row>
    <row r="60" spans="1:8" ht="12.75">
      <c r="A60" s="28" t="s">
        <v>319</v>
      </c>
      <c r="H60" s="27"/>
    </row>
    <row r="61" spans="1:8" ht="12.75">
      <c r="A61" s="28" t="s">
        <v>320</v>
      </c>
      <c r="B61" s="27"/>
      <c r="C61" s="27"/>
      <c r="D61" s="27"/>
      <c r="E61" s="27"/>
      <c r="H61" s="233"/>
    </row>
    <row r="62" spans="1:8" ht="12.75">
      <c r="A62" s="28" t="s">
        <v>321</v>
      </c>
      <c r="B62" s="27"/>
      <c r="C62" s="216"/>
      <c r="D62" s="218">
        <f>+'2.2 List'!E56</f>
        <v>678930720.50511</v>
      </c>
      <c r="E62" s="102"/>
      <c r="F62" s="102"/>
      <c r="H62" s="233"/>
    </row>
    <row r="63" spans="1:6" ht="12.75">
      <c r="A63" s="28" t="s">
        <v>322</v>
      </c>
      <c r="B63" s="27"/>
      <c r="C63" s="216"/>
      <c r="D63" s="218">
        <f>+'3.1 Changes'!BB67</f>
        <v>678930721.224</v>
      </c>
      <c r="E63" s="102"/>
      <c r="F63" s="102"/>
    </row>
    <row r="64" spans="1:6" ht="12.75">
      <c r="A64" s="28" t="s">
        <v>323</v>
      </c>
      <c r="C64" s="217"/>
      <c r="D64" s="218">
        <f>+'3.2 Balance Sheet'!BB57</f>
        <v>678930720.50511</v>
      </c>
      <c r="E64" s="33"/>
      <c r="F64" s="33"/>
    </row>
    <row r="65" ht="12">
      <c r="E65" s="225"/>
    </row>
    <row r="68" ht="12.75">
      <c r="E68" s="102"/>
    </row>
  </sheetData>
  <mergeCells count="1">
    <mergeCell ref="E1:G1"/>
  </mergeCells>
  <printOptions/>
  <pageMargins left="0.35433070866141736" right="0" top="0.984251968503937" bottom="0.3937007874015748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Roman,Bold"&amp;14 2.3. NET ASSETS BROKEN DOWN BY PENSION SCHEMES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A1">
      <pane xSplit="1" ySplit="5" topLeftCell="B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E24" sqref="BE24"/>
    </sheetView>
  </sheetViews>
  <sheetFormatPr defaultColWidth="9.140625" defaultRowHeight="12.75"/>
  <cols>
    <col min="1" max="1" width="37.7109375" style="33" customWidth="1"/>
    <col min="2" max="2" width="10.140625" style="42" customWidth="1"/>
    <col min="3" max="3" width="9.8515625" style="42" customWidth="1"/>
    <col min="4" max="6" width="9.28125" style="42" customWidth="1"/>
    <col min="7" max="7" width="9.140625" style="42" bestFit="1" customWidth="1"/>
    <col min="8" max="8" width="10.140625" style="42" bestFit="1" customWidth="1"/>
    <col min="9" max="9" width="9.28125" style="42" customWidth="1"/>
    <col min="10" max="10" width="11.7109375" style="42" bestFit="1" customWidth="1"/>
    <col min="11" max="15" width="9.28125" style="42" customWidth="1"/>
    <col min="16" max="16" width="11.7109375" style="42" bestFit="1" customWidth="1"/>
    <col min="17" max="23" width="9.28125" style="42" customWidth="1"/>
    <col min="24" max="24" width="10.8515625" style="42" customWidth="1"/>
    <col min="25" max="30" width="9.28125" style="42" customWidth="1"/>
    <col min="31" max="31" width="10.00390625" style="42" customWidth="1"/>
    <col min="32" max="33" width="9.28125" style="42" customWidth="1"/>
    <col min="34" max="34" width="9.8515625" style="42" customWidth="1"/>
    <col min="35" max="35" width="9.28125" style="42" customWidth="1"/>
    <col min="36" max="36" width="9.8515625" style="42" customWidth="1"/>
    <col min="37" max="37" width="10.7109375" style="42" customWidth="1"/>
    <col min="38" max="38" width="9.28125" style="42" customWidth="1"/>
    <col min="39" max="39" width="10.8515625" style="42" customWidth="1"/>
    <col min="40" max="42" width="9.28125" style="42" customWidth="1"/>
    <col min="43" max="43" width="10.28125" style="42" customWidth="1"/>
    <col min="44" max="44" width="10.57421875" style="42" customWidth="1"/>
    <col min="45" max="45" width="10.28125" style="42" customWidth="1"/>
    <col min="46" max="47" width="9.28125" style="42" customWidth="1"/>
    <col min="48" max="48" width="12.8515625" style="42" customWidth="1"/>
    <col min="49" max="49" width="9.28125" style="42" customWidth="1"/>
    <col min="50" max="50" width="10.421875" style="42" customWidth="1"/>
    <col min="51" max="51" width="10.00390625" style="42" customWidth="1"/>
    <col min="52" max="52" width="9.7109375" style="42" customWidth="1"/>
    <col min="53" max="53" width="17.57421875" style="42" customWidth="1"/>
    <col min="54" max="54" width="12.28125" style="42" customWidth="1"/>
    <col min="55" max="55" width="3.00390625" style="42" customWidth="1"/>
    <col min="56" max="56" width="9.28125" style="42" bestFit="1" customWidth="1"/>
    <col min="57" max="16384" width="9.140625" style="42" customWidth="1"/>
  </cols>
  <sheetData>
    <row r="1" spans="1:55" ht="12.75" customHeight="1">
      <c r="A1" s="247" t="s">
        <v>317</v>
      </c>
      <c r="B1" s="100" t="s">
        <v>60</v>
      </c>
      <c r="C1" s="100" t="s">
        <v>60</v>
      </c>
      <c r="D1" s="100" t="s">
        <v>60</v>
      </c>
      <c r="E1" s="100" t="s">
        <v>60</v>
      </c>
      <c r="F1" s="100" t="s">
        <v>61</v>
      </c>
      <c r="G1" s="100" t="s">
        <v>60</v>
      </c>
      <c r="H1" s="100" t="s">
        <v>62</v>
      </c>
      <c r="I1" s="100" t="s">
        <v>60</v>
      </c>
      <c r="J1" s="100" t="s">
        <v>64</v>
      </c>
      <c r="K1" s="100" t="s">
        <v>60</v>
      </c>
      <c r="L1" s="100" t="s">
        <v>63</v>
      </c>
      <c r="M1" s="100" t="s">
        <v>60</v>
      </c>
      <c r="N1" s="100" t="s">
        <v>60</v>
      </c>
      <c r="O1" s="100" t="s">
        <v>60</v>
      </c>
      <c r="P1" s="100" t="s">
        <v>65</v>
      </c>
      <c r="Q1" s="100" t="s">
        <v>60</v>
      </c>
      <c r="R1" s="100" t="s">
        <v>60</v>
      </c>
      <c r="S1" s="100" t="s">
        <v>60</v>
      </c>
      <c r="T1" s="100" t="s">
        <v>60</v>
      </c>
      <c r="U1" s="100" t="s">
        <v>60</v>
      </c>
      <c r="V1" s="100" t="s">
        <v>60</v>
      </c>
      <c r="W1" s="100" t="s">
        <v>66</v>
      </c>
      <c r="X1" s="100" t="s">
        <v>60</v>
      </c>
      <c r="Y1" s="100" t="s">
        <v>60</v>
      </c>
      <c r="Z1" s="100" t="s">
        <v>68</v>
      </c>
      <c r="AA1" s="100" t="s">
        <v>60</v>
      </c>
      <c r="AB1" s="100" t="s">
        <v>60</v>
      </c>
      <c r="AC1" s="100" t="s">
        <v>70</v>
      </c>
      <c r="AD1" s="100" t="s">
        <v>60</v>
      </c>
      <c r="AE1" s="100" t="s">
        <v>69</v>
      </c>
      <c r="AF1" s="100" t="s">
        <v>60</v>
      </c>
      <c r="AG1" s="100" t="s">
        <v>60</v>
      </c>
      <c r="AH1" s="100" t="s">
        <v>60</v>
      </c>
      <c r="AI1" s="100" t="s">
        <v>60</v>
      </c>
      <c r="AJ1" s="100" t="s">
        <v>60</v>
      </c>
      <c r="AK1" s="100" t="s">
        <v>69</v>
      </c>
      <c r="AL1" s="100" t="s">
        <v>60</v>
      </c>
      <c r="AM1" s="100" t="s">
        <v>69</v>
      </c>
      <c r="AN1" s="100" t="s">
        <v>60</v>
      </c>
      <c r="AO1" s="100" t="s">
        <v>60</v>
      </c>
      <c r="AP1" s="100" t="s">
        <v>60</v>
      </c>
      <c r="AQ1" s="100" t="s">
        <v>69</v>
      </c>
      <c r="AR1" s="100" t="s">
        <v>69</v>
      </c>
      <c r="AS1" s="100" t="s">
        <v>69</v>
      </c>
      <c r="AT1" s="100" t="s">
        <v>60</v>
      </c>
      <c r="AU1" s="100" t="s">
        <v>67</v>
      </c>
      <c r="AV1" s="100" t="s">
        <v>60</v>
      </c>
      <c r="AW1" s="100" t="s">
        <v>60</v>
      </c>
      <c r="AX1" s="100" t="s">
        <v>69</v>
      </c>
      <c r="AY1" s="100" t="s">
        <v>60</v>
      </c>
      <c r="AZ1" s="100" t="s">
        <v>60</v>
      </c>
      <c r="BB1" s="100" t="s">
        <v>525</v>
      </c>
      <c r="BC1" s="100"/>
    </row>
    <row r="2" spans="1:55" ht="12.75">
      <c r="A2" s="247"/>
      <c r="B2" s="100" t="s">
        <v>74</v>
      </c>
      <c r="C2" s="100" t="s">
        <v>73</v>
      </c>
      <c r="D2" s="100" t="s">
        <v>75</v>
      </c>
      <c r="E2" s="100" t="s">
        <v>77</v>
      </c>
      <c r="F2" s="100" t="s">
        <v>76</v>
      </c>
      <c r="G2" s="100" t="s">
        <v>78</v>
      </c>
      <c r="H2" s="100" t="s">
        <v>76</v>
      </c>
      <c r="I2" s="100" t="s">
        <v>79</v>
      </c>
      <c r="J2" s="100" t="s">
        <v>76</v>
      </c>
      <c r="K2" s="100" t="s">
        <v>80</v>
      </c>
      <c r="L2" s="100" t="s">
        <v>76</v>
      </c>
      <c r="M2" s="100" t="s">
        <v>81</v>
      </c>
      <c r="N2" s="100" t="s">
        <v>83</v>
      </c>
      <c r="O2" s="100" t="s">
        <v>82</v>
      </c>
      <c r="P2" s="100" t="s">
        <v>88</v>
      </c>
      <c r="Q2" s="100" t="s">
        <v>86</v>
      </c>
      <c r="R2" s="100" t="s">
        <v>85</v>
      </c>
      <c r="S2" s="100" t="s">
        <v>84</v>
      </c>
      <c r="T2" s="100" t="s">
        <v>87</v>
      </c>
      <c r="U2" s="100" t="s">
        <v>89</v>
      </c>
      <c r="V2" s="100" t="s">
        <v>90</v>
      </c>
      <c r="W2" s="100" t="s">
        <v>91</v>
      </c>
      <c r="X2" s="100" t="s">
        <v>94</v>
      </c>
      <c r="Y2" s="100" t="s">
        <v>93</v>
      </c>
      <c r="Z2" s="100" t="s">
        <v>76</v>
      </c>
      <c r="AA2" s="100" t="s">
        <v>95</v>
      </c>
      <c r="AB2" s="100" t="s">
        <v>93</v>
      </c>
      <c r="AC2" s="100" t="s">
        <v>76</v>
      </c>
      <c r="AD2" s="100" t="s">
        <v>93</v>
      </c>
      <c r="AE2" s="100" t="s">
        <v>93</v>
      </c>
      <c r="AF2" s="100" t="s">
        <v>96</v>
      </c>
      <c r="AG2" s="100" t="s">
        <v>99</v>
      </c>
      <c r="AH2" s="100" t="s">
        <v>97</v>
      </c>
      <c r="AI2" s="100" t="s">
        <v>98</v>
      </c>
      <c r="AJ2" s="100" t="s">
        <v>101</v>
      </c>
      <c r="AK2" s="100" t="s">
        <v>100</v>
      </c>
      <c r="AL2" s="100" t="s">
        <v>104</v>
      </c>
      <c r="AM2" s="100" t="s">
        <v>102</v>
      </c>
      <c r="AN2" s="100" t="s">
        <v>103</v>
      </c>
      <c r="AO2" s="100" t="s">
        <v>105</v>
      </c>
      <c r="AP2" s="100" t="s">
        <v>106</v>
      </c>
      <c r="AQ2" s="100" t="s">
        <v>108</v>
      </c>
      <c r="AR2" s="100" t="s">
        <v>107</v>
      </c>
      <c r="AS2" s="100" t="s">
        <v>109</v>
      </c>
      <c r="AT2" s="100" t="s">
        <v>93</v>
      </c>
      <c r="AU2" s="100" t="s">
        <v>92</v>
      </c>
      <c r="AV2" s="100" t="s">
        <v>278</v>
      </c>
      <c r="AW2" s="100" t="s">
        <v>110</v>
      </c>
      <c r="AX2" s="100" t="s">
        <v>111</v>
      </c>
      <c r="AY2" s="100" t="s">
        <v>112</v>
      </c>
      <c r="AZ2" s="100" t="s">
        <v>113</v>
      </c>
      <c r="BB2" s="100"/>
      <c r="BC2" s="100"/>
    </row>
    <row r="3" spans="1:55" ht="12.75">
      <c r="A3" s="247"/>
      <c r="B3" s="100"/>
      <c r="C3" s="100" t="s">
        <v>114</v>
      </c>
      <c r="D3" s="100" t="s">
        <v>55</v>
      </c>
      <c r="E3" s="100" t="s">
        <v>55</v>
      </c>
      <c r="F3" s="100" t="s">
        <v>92</v>
      </c>
      <c r="G3" s="100" t="s">
        <v>118</v>
      </c>
      <c r="H3" s="100" t="s">
        <v>119</v>
      </c>
      <c r="I3" s="100" t="s">
        <v>120</v>
      </c>
      <c r="J3" s="100" t="s">
        <v>92</v>
      </c>
      <c r="K3" s="100" t="s">
        <v>55</v>
      </c>
      <c r="L3" s="100" t="s">
        <v>92</v>
      </c>
      <c r="M3" s="100" t="s">
        <v>118</v>
      </c>
      <c r="N3" s="100" t="s">
        <v>55</v>
      </c>
      <c r="O3" s="100" t="s">
        <v>121</v>
      </c>
      <c r="P3" s="100" t="s">
        <v>125</v>
      </c>
      <c r="Q3" s="100" t="s">
        <v>123</v>
      </c>
      <c r="R3" s="100" t="s">
        <v>122</v>
      </c>
      <c r="S3" s="100" t="s">
        <v>55</v>
      </c>
      <c r="T3" s="100" t="s">
        <v>124</v>
      </c>
      <c r="U3" s="100" t="s">
        <v>126</v>
      </c>
      <c r="V3" s="100" t="s">
        <v>118</v>
      </c>
      <c r="W3" s="100" t="s">
        <v>127</v>
      </c>
      <c r="X3" s="100" t="s">
        <v>129</v>
      </c>
      <c r="Y3" s="100" t="s">
        <v>128</v>
      </c>
      <c r="Z3" s="100" t="s">
        <v>130</v>
      </c>
      <c r="AA3" s="100"/>
      <c r="AB3" s="100" t="s">
        <v>136</v>
      </c>
      <c r="AC3" s="100" t="s">
        <v>92</v>
      </c>
      <c r="AD3" s="100" t="s">
        <v>131</v>
      </c>
      <c r="AE3" s="100" t="s">
        <v>133</v>
      </c>
      <c r="AF3" s="100" t="s">
        <v>132</v>
      </c>
      <c r="AG3" s="100"/>
      <c r="AH3" s="100" t="s">
        <v>134</v>
      </c>
      <c r="AI3" s="100" t="s">
        <v>135</v>
      </c>
      <c r="AJ3" s="100" t="s">
        <v>250</v>
      </c>
      <c r="AK3" s="100" t="s">
        <v>137</v>
      </c>
      <c r="AL3" s="100" t="s">
        <v>140</v>
      </c>
      <c r="AM3" s="100" t="s">
        <v>138</v>
      </c>
      <c r="AN3" s="100" t="s">
        <v>139</v>
      </c>
      <c r="AO3" s="100" t="s">
        <v>141</v>
      </c>
      <c r="AP3" s="100" t="s">
        <v>142</v>
      </c>
      <c r="AQ3" s="100" t="s">
        <v>143</v>
      </c>
      <c r="AR3" s="100" t="s">
        <v>95</v>
      </c>
      <c r="AS3" s="100" t="s">
        <v>144</v>
      </c>
      <c r="AT3" s="100" t="s">
        <v>145</v>
      </c>
      <c r="AU3" s="100" t="s">
        <v>146</v>
      </c>
      <c r="AV3" s="100" t="s">
        <v>277</v>
      </c>
      <c r="AW3" s="100" t="s">
        <v>147</v>
      </c>
      <c r="AX3" s="100" t="s">
        <v>148</v>
      </c>
      <c r="AY3" s="100" t="s">
        <v>149</v>
      </c>
      <c r="AZ3" s="100" t="s">
        <v>150</v>
      </c>
      <c r="BB3" s="100"/>
      <c r="BC3" s="100"/>
    </row>
    <row r="4" spans="1:55" s="105" customFormat="1" ht="12.75">
      <c r="A4" s="247"/>
      <c r="B4" s="104" t="s">
        <v>233</v>
      </c>
      <c r="C4" s="104" t="s">
        <v>151</v>
      </c>
      <c r="D4" s="104" t="s">
        <v>156</v>
      </c>
      <c r="E4" s="104" t="s">
        <v>157</v>
      </c>
      <c r="F4" s="104" t="s">
        <v>160</v>
      </c>
      <c r="G4" s="104" t="s">
        <v>161</v>
      </c>
      <c r="H4" s="104" t="s">
        <v>162</v>
      </c>
      <c r="I4" s="104" t="s">
        <v>163</v>
      </c>
      <c r="J4" s="104" t="s">
        <v>164</v>
      </c>
      <c r="K4" s="104" t="s">
        <v>165</v>
      </c>
      <c r="L4" s="104" t="s">
        <v>166</v>
      </c>
      <c r="M4" s="104" t="s">
        <v>167</v>
      </c>
      <c r="N4" s="104" t="s">
        <v>168</v>
      </c>
      <c r="O4" s="104" t="s">
        <v>169</v>
      </c>
      <c r="P4" s="104" t="s">
        <v>170</v>
      </c>
      <c r="Q4" s="104" t="s">
        <v>171</v>
      </c>
      <c r="R4" s="104" t="s">
        <v>172</v>
      </c>
      <c r="S4" s="104" t="s">
        <v>173</v>
      </c>
      <c r="T4" s="104" t="s">
        <v>174</v>
      </c>
      <c r="U4" s="104" t="s">
        <v>175</v>
      </c>
      <c r="V4" s="104" t="s">
        <v>176</v>
      </c>
      <c r="W4" s="104" t="s">
        <v>177</v>
      </c>
      <c r="X4" s="104" t="s">
        <v>178</v>
      </c>
      <c r="Y4" s="104" t="s">
        <v>179</v>
      </c>
      <c r="Z4" s="104" t="s">
        <v>180</v>
      </c>
      <c r="AA4" s="104" t="s">
        <v>181</v>
      </c>
      <c r="AB4" s="104" t="s">
        <v>182</v>
      </c>
      <c r="AC4" s="104" t="s">
        <v>183</v>
      </c>
      <c r="AD4" s="104" t="s">
        <v>184</v>
      </c>
      <c r="AE4" s="104" t="s">
        <v>185</v>
      </c>
      <c r="AF4" s="104" t="s">
        <v>186</v>
      </c>
      <c r="AG4" s="104" t="s">
        <v>187</v>
      </c>
      <c r="AH4" s="104" t="s">
        <v>190</v>
      </c>
      <c r="AI4" s="104" t="s">
        <v>191</v>
      </c>
      <c r="AJ4" s="104" t="s">
        <v>192</v>
      </c>
      <c r="AK4" s="104" t="s">
        <v>193</v>
      </c>
      <c r="AL4" s="104" t="s">
        <v>194</v>
      </c>
      <c r="AM4" s="104" t="s">
        <v>196</v>
      </c>
      <c r="AN4" s="104" t="s">
        <v>197</v>
      </c>
      <c r="AO4" s="104" t="s">
        <v>198</v>
      </c>
      <c r="AP4" s="104" t="s">
        <v>199</v>
      </c>
      <c r="AQ4" s="104" t="s">
        <v>200</v>
      </c>
      <c r="AR4" s="104" t="s">
        <v>201</v>
      </c>
      <c r="AS4" s="104" t="s">
        <v>202</v>
      </c>
      <c r="AT4" s="104" t="s">
        <v>203</v>
      </c>
      <c r="AU4" s="104" t="s">
        <v>204</v>
      </c>
      <c r="AV4" s="104" t="s">
        <v>205</v>
      </c>
      <c r="AW4" s="104" t="s">
        <v>206</v>
      </c>
      <c r="AX4" s="104" t="s">
        <v>207</v>
      </c>
      <c r="AY4" s="104" t="s">
        <v>208</v>
      </c>
      <c r="AZ4" s="104" t="s">
        <v>209</v>
      </c>
      <c r="BB4" s="100"/>
      <c r="BC4" s="100"/>
    </row>
    <row r="5" spans="1:55" ht="12.75">
      <c r="A5" s="246" t="s">
        <v>366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13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B5" s="29"/>
      <c r="BC5" s="29"/>
    </row>
    <row r="6" spans="1:55" ht="12.75">
      <c r="A6" s="247" t="s">
        <v>367</v>
      </c>
      <c r="B6" s="30">
        <v>2925534.299</v>
      </c>
      <c r="C6" s="30">
        <v>2953342</v>
      </c>
      <c r="D6" s="30">
        <v>1222767.1649999998</v>
      </c>
      <c r="E6" s="30">
        <v>909858</v>
      </c>
      <c r="F6" s="30">
        <v>1141350</v>
      </c>
      <c r="G6" s="30">
        <v>671270</v>
      </c>
      <c r="H6" s="30">
        <v>568151</v>
      </c>
      <c r="I6" s="30">
        <v>255179</v>
      </c>
      <c r="J6" s="30">
        <v>1459842</v>
      </c>
      <c r="K6" s="30">
        <v>578991</v>
      </c>
      <c r="L6" s="30">
        <v>308136.797</v>
      </c>
      <c r="M6" s="30">
        <v>375550.288</v>
      </c>
      <c r="N6" s="30">
        <v>315926</v>
      </c>
      <c r="O6" s="30">
        <v>258072.5</v>
      </c>
      <c r="P6" s="30">
        <v>1096584.438</v>
      </c>
      <c r="Q6" s="30">
        <v>504585.892</v>
      </c>
      <c r="R6" s="30">
        <v>340115</v>
      </c>
      <c r="S6" s="30">
        <v>136348</v>
      </c>
      <c r="T6" s="30">
        <v>211079.9</v>
      </c>
      <c r="U6" s="30">
        <v>82717</v>
      </c>
      <c r="V6" s="30">
        <v>195945</v>
      </c>
      <c r="W6" s="30">
        <v>81832</v>
      </c>
      <c r="X6" s="30">
        <v>259925</v>
      </c>
      <c r="Y6" s="30">
        <v>24221.881</v>
      </c>
      <c r="Z6" s="30">
        <v>465018.801</v>
      </c>
      <c r="AA6" s="30">
        <v>134138.566</v>
      </c>
      <c r="AB6" s="30">
        <v>511800</v>
      </c>
      <c r="AC6" s="30">
        <v>283943.2</v>
      </c>
      <c r="AD6" s="30">
        <v>143015</v>
      </c>
      <c r="AE6" s="30">
        <v>0</v>
      </c>
      <c r="AF6" s="30">
        <v>0</v>
      </c>
      <c r="AG6" s="30">
        <v>43804</v>
      </c>
      <c r="AH6" s="30">
        <v>0</v>
      </c>
      <c r="AI6" s="30">
        <v>34887.093</v>
      </c>
      <c r="AJ6" s="30">
        <v>18311.714</v>
      </c>
      <c r="AK6" s="30">
        <v>0</v>
      </c>
      <c r="AL6" s="30">
        <v>73179</v>
      </c>
      <c r="AM6" s="30">
        <v>21380.309</v>
      </c>
      <c r="AN6" s="30">
        <v>0</v>
      </c>
      <c r="AO6" s="30">
        <v>22362</v>
      </c>
      <c r="AP6" s="30">
        <v>7445</v>
      </c>
      <c r="AQ6" s="30">
        <v>0</v>
      </c>
      <c r="AR6" s="30">
        <v>0</v>
      </c>
      <c r="AS6" s="30">
        <v>12732</v>
      </c>
      <c r="AT6" s="30">
        <v>0</v>
      </c>
      <c r="AU6" s="30">
        <v>0</v>
      </c>
      <c r="AV6" s="30">
        <v>3100</v>
      </c>
      <c r="AW6" s="30">
        <v>1997</v>
      </c>
      <c r="AX6" s="30">
        <v>0</v>
      </c>
      <c r="AY6" s="30">
        <v>4719.356</v>
      </c>
      <c r="AZ6" s="30">
        <v>0</v>
      </c>
      <c r="BB6" s="42">
        <f>SUM(B6:AZ6)</f>
        <v>18659157.199000005</v>
      </c>
      <c r="BC6" s="29"/>
    </row>
    <row r="7" spans="1:55" ht="12.75">
      <c r="A7" s="247" t="s">
        <v>368</v>
      </c>
      <c r="B7" s="30">
        <v>6449862.859999999</v>
      </c>
      <c r="C7" s="30">
        <v>4430013</v>
      </c>
      <c r="D7" s="30">
        <v>1878612.409</v>
      </c>
      <c r="E7" s="30">
        <v>1329218</v>
      </c>
      <c r="F7" s="30">
        <v>1664216</v>
      </c>
      <c r="G7" s="30">
        <v>964539</v>
      </c>
      <c r="H7" s="30">
        <v>850487</v>
      </c>
      <c r="I7" s="30">
        <v>551139</v>
      </c>
      <c r="J7" s="30">
        <v>2005092</v>
      </c>
      <c r="K7" s="30">
        <v>877277</v>
      </c>
      <c r="L7" s="30">
        <v>464126.755</v>
      </c>
      <c r="M7" s="30">
        <v>570303.473</v>
      </c>
      <c r="N7" s="30">
        <v>434885</v>
      </c>
      <c r="O7" s="30">
        <v>373016.5</v>
      </c>
      <c r="P7" s="30">
        <v>1449871.365</v>
      </c>
      <c r="Q7" s="30">
        <v>691447.339</v>
      </c>
      <c r="R7" s="30">
        <v>510172</v>
      </c>
      <c r="S7" s="30">
        <v>228883</v>
      </c>
      <c r="T7" s="30">
        <v>316619.8</v>
      </c>
      <c r="U7" s="30">
        <v>138057</v>
      </c>
      <c r="V7" s="30">
        <v>300925</v>
      </c>
      <c r="W7" s="30">
        <v>328206</v>
      </c>
      <c r="X7" s="30">
        <v>354800</v>
      </c>
      <c r="Y7" s="30">
        <v>89960.66</v>
      </c>
      <c r="Z7" s="30">
        <v>626009.0859999999</v>
      </c>
      <c r="AA7" s="30">
        <v>201207.849</v>
      </c>
      <c r="AB7" s="30">
        <v>1266265</v>
      </c>
      <c r="AC7" s="30">
        <v>438507.2</v>
      </c>
      <c r="AD7" s="30">
        <v>400963</v>
      </c>
      <c r="AE7" s="30">
        <v>271490</v>
      </c>
      <c r="AF7" s="30">
        <v>0</v>
      </c>
      <c r="AG7" s="30">
        <v>66676.5</v>
      </c>
      <c r="AH7" s="30">
        <v>0</v>
      </c>
      <c r="AI7" s="30">
        <v>51886.841</v>
      </c>
      <c r="AJ7" s="30">
        <v>27396.672</v>
      </c>
      <c r="AK7" s="30">
        <v>0</v>
      </c>
      <c r="AL7" s="30">
        <v>0</v>
      </c>
      <c r="AM7" s="30">
        <v>50074.882</v>
      </c>
      <c r="AN7" s="30">
        <v>0</v>
      </c>
      <c r="AO7" s="30">
        <v>103395</v>
      </c>
      <c r="AP7" s="30">
        <v>11167</v>
      </c>
      <c r="AQ7" s="30">
        <v>0</v>
      </c>
      <c r="AR7" s="30">
        <v>0</v>
      </c>
      <c r="AS7" s="30">
        <v>19097</v>
      </c>
      <c r="AT7" s="30">
        <v>0</v>
      </c>
      <c r="AU7" s="30">
        <v>0</v>
      </c>
      <c r="AV7" s="30">
        <v>4651</v>
      </c>
      <c r="AW7" s="30">
        <v>2996</v>
      </c>
      <c r="AX7" s="30">
        <v>0</v>
      </c>
      <c r="AY7" s="30">
        <v>7079.034</v>
      </c>
      <c r="AZ7" s="30">
        <v>0</v>
      </c>
      <c r="BB7" s="42">
        <f aca="true" t="shared" si="0" ref="BB7:BB67">SUM(B7:AZ7)</f>
        <v>30800592.224999998</v>
      </c>
      <c r="BC7" s="29"/>
    </row>
    <row r="8" spans="1:55" ht="12.75">
      <c r="A8" s="247" t="s">
        <v>369</v>
      </c>
      <c r="B8" s="30">
        <v>-13816.191999999995</v>
      </c>
      <c r="C8" s="30">
        <v>0</v>
      </c>
      <c r="D8" s="30">
        <v>-43866.817</v>
      </c>
      <c r="E8" s="30">
        <v>906</v>
      </c>
      <c r="F8" s="30">
        <v>56083</v>
      </c>
      <c r="G8" s="30">
        <v>14949</v>
      </c>
      <c r="H8" s="30">
        <v>-29508</v>
      </c>
      <c r="I8" s="30">
        <v>85</v>
      </c>
      <c r="J8" s="30">
        <v>-512735</v>
      </c>
      <c r="K8" s="30">
        <v>5719</v>
      </c>
      <c r="L8" s="30">
        <v>-5195.281</v>
      </c>
      <c r="M8" s="30">
        <v>-12361.853</v>
      </c>
      <c r="N8" s="30">
        <v>167</v>
      </c>
      <c r="O8" s="30">
        <v>-1499</v>
      </c>
      <c r="P8" s="30">
        <v>-201955.14</v>
      </c>
      <c r="Q8" s="30">
        <v>16564.459</v>
      </c>
      <c r="R8" s="30">
        <v>-1460</v>
      </c>
      <c r="S8" s="30">
        <v>3993</v>
      </c>
      <c r="T8" s="30">
        <v>-1078.8</v>
      </c>
      <c r="U8" s="30">
        <v>1674</v>
      </c>
      <c r="V8" s="30">
        <v>-12160</v>
      </c>
      <c r="W8" s="30">
        <v>0</v>
      </c>
      <c r="X8" s="30">
        <v>-44136.4</v>
      </c>
      <c r="Y8" s="30">
        <v>0</v>
      </c>
      <c r="Z8" s="30">
        <v>3781.221999999998</v>
      </c>
      <c r="AA8" s="30">
        <v>-8704.158</v>
      </c>
      <c r="AB8" s="30">
        <v>-5632</v>
      </c>
      <c r="AC8" s="30">
        <v>1381461</v>
      </c>
      <c r="AD8" s="30">
        <v>785096</v>
      </c>
      <c r="AE8" s="30">
        <v>-15135</v>
      </c>
      <c r="AF8" s="30">
        <v>-643</v>
      </c>
      <c r="AG8" s="30">
        <v>-6601.6</v>
      </c>
      <c r="AH8" s="30">
        <v>15</v>
      </c>
      <c r="AI8" s="30">
        <v>-221.541</v>
      </c>
      <c r="AJ8" s="30">
        <v>265.091</v>
      </c>
      <c r="AK8" s="30">
        <v>0</v>
      </c>
      <c r="AL8" s="30">
        <v>0</v>
      </c>
      <c r="AM8" s="30">
        <v>379.926</v>
      </c>
      <c r="AN8" s="30">
        <v>-162</v>
      </c>
      <c r="AO8" s="30">
        <v>-408</v>
      </c>
      <c r="AP8" s="30">
        <v>0</v>
      </c>
      <c r="AQ8" s="30">
        <v>-11</v>
      </c>
      <c r="AR8" s="30">
        <v>184.716</v>
      </c>
      <c r="AS8" s="30">
        <v>-118</v>
      </c>
      <c r="AT8" s="30">
        <v>0</v>
      </c>
      <c r="AU8" s="30">
        <v>0</v>
      </c>
      <c r="AV8" s="30">
        <v>-87</v>
      </c>
      <c r="AW8" s="30">
        <v>-11</v>
      </c>
      <c r="AX8" s="30">
        <v>0</v>
      </c>
      <c r="AY8" s="30">
        <v>-16.42</v>
      </c>
      <c r="AZ8" s="30">
        <v>0</v>
      </c>
      <c r="BB8" s="42">
        <f t="shared" si="0"/>
        <v>1353800.212</v>
      </c>
      <c r="BC8" s="29"/>
    </row>
    <row r="9" spans="1:55" ht="12.75">
      <c r="A9" s="247" t="s">
        <v>370</v>
      </c>
      <c r="B9" s="30">
        <v>14484543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/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1373713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/>
      <c r="AB9" s="30">
        <v>0</v>
      </c>
      <c r="AC9" s="30">
        <v>0</v>
      </c>
      <c r="AD9" s="30">
        <v>-1032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37821.105</v>
      </c>
      <c r="AK9" s="30">
        <v>0</v>
      </c>
      <c r="AL9" s="30">
        <v>0</v>
      </c>
      <c r="AM9" s="30">
        <v>49829.69</v>
      </c>
      <c r="AN9" s="30">
        <v>11616</v>
      </c>
      <c r="AO9" s="30">
        <v>0</v>
      </c>
      <c r="AP9" s="30">
        <v>0</v>
      </c>
      <c r="AQ9" s="30">
        <v>0</v>
      </c>
      <c r="AR9" s="30">
        <v>0</v>
      </c>
      <c r="AS9" s="42">
        <v>29374</v>
      </c>
      <c r="AT9" s="30">
        <v>1494</v>
      </c>
      <c r="AU9" s="30">
        <v>0</v>
      </c>
      <c r="AV9" s="30">
        <v>20924</v>
      </c>
      <c r="AW9" s="30">
        <v>14433</v>
      </c>
      <c r="AX9" s="30">
        <v>129463</v>
      </c>
      <c r="AY9" s="30">
        <v>16539.12</v>
      </c>
      <c r="AZ9" s="30">
        <v>0</v>
      </c>
      <c r="BB9" s="42">
        <f t="shared" si="0"/>
        <v>16168717.915</v>
      </c>
      <c r="BC9" s="29"/>
    </row>
    <row r="10" spans="1:55" ht="5.25" customHeight="1">
      <c r="A10" s="247"/>
      <c r="L10" s="33"/>
      <c r="AP10" s="29"/>
      <c r="BC10" s="29"/>
    </row>
    <row r="11" spans="1:55" ht="13.5">
      <c r="A11" s="256" t="s">
        <v>366</v>
      </c>
      <c r="B11" s="29">
        <f>SUM(B6:B10)</f>
        <v>23846123.967</v>
      </c>
      <c r="C11" s="29">
        <f aca="true" t="shared" si="1" ref="C11:L11">SUM(C6:C10)</f>
        <v>7383355</v>
      </c>
      <c r="D11" s="29">
        <f t="shared" si="1"/>
        <v>3057512.757</v>
      </c>
      <c r="E11" s="29">
        <f>SUM(E6:E10)</f>
        <v>2239982</v>
      </c>
      <c r="F11" s="29">
        <f t="shared" si="1"/>
        <v>2861649</v>
      </c>
      <c r="G11" s="29">
        <f t="shared" si="1"/>
        <v>1650758</v>
      </c>
      <c r="H11" s="29">
        <f t="shared" si="1"/>
        <v>1389130</v>
      </c>
      <c r="I11" s="29">
        <f t="shared" si="1"/>
        <v>806403</v>
      </c>
      <c r="J11" s="29">
        <f>SUM(J6:J10)</f>
        <v>2952199</v>
      </c>
      <c r="K11" s="29">
        <f>SUM(K6:K10)</f>
        <v>1461987</v>
      </c>
      <c r="L11" s="29">
        <f t="shared" si="1"/>
        <v>767068.2710000001</v>
      </c>
      <c r="M11" s="29">
        <f aca="true" t="shared" si="2" ref="M11:AZ11">SUM(M6:M10)</f>
        <v>933491.9079999999</v>
      </c>
      <c r="N11" s="29">
        <f>SUM(N6:N10)</f>
        <v>750978</v>
      </c>
      <c r="O11" s="29">
        <f t="shared" si="2"/>
        <v>629590</v>
      </c>
      <c r="P11" s="29">
        <f>SUM(P6:P10)</f>
        <v>2344500.663</v>
      </c>
      <c r="Q11" s="29">
        <f t="shared" si="2"/>
        <v>1212597.6900000002</v>
      </c>
      <c r="R11" s="29">
        <f t="shared" si="2"/>
        <v>848827</v>
      </c>
      <c r="S11" s="29">
        <f>SUM(S6:S10)</f>
        <v>369224</v>
      </c>
      <c r="T11" s="29">
        <f t="shared" si="2"/>
        <v>526620.8999999999</v>
      </c>
      <c r="U11" s="29">
        <f t="shared" si="2"/>
        <v>1596161</v>
      </c>
      <c r="V11" s="29">
        <f t="shared" si="2"/>
        <v>484710</v>
      </c>
      <c r="W11" s="29">
        <f t="shared" si="2"/>
        <v>410038</v>
      </c>
      <c r="X11" s="29">
        <f t="shared" si="2"/>
        <v>570588.6</v>
      </c>
      <c r="Y11" s="29">
        <f t="shared" si="2"/>
        <v>114182.541</v>
      </c>
      <c r="Z11" s="29">
        <f>SUM(Z6:Z10)</f>
        <v>1094809.109</v>
      </c>
      <c r="AA11" s="29">
        <f t="shared" si="2"/>
        <v>326642.257</v>
      </c>
      <c r="AB11" s="29">
        <f>SUM(AB6:AB10)</f>
        <v>1772433</v>
      </c>
      <c r="AC11" s="29">
        <f>SUM(AC6:AC10)</f>
        <v>2103911.4</v>
      </c>
      <c r="AD11" s="29">
        <f t="shared" si="2"/>
        <v>1328042</v>
      </c>
      <c r="AE11" s="29">
        <f t="shared" si="2"/>
        <v>256355</v>
      </c>
      <c r="AF11" s="29">
        <f t="shared" si="2"/>
        <v>-643</v>
      </c>
      <c r="AG11" s="29">
        <f t="shared" si="2"/>
        <v>103878.9</v>
      </c>
      <c r="AH11" s="29">
        <f t="shared" si="2"/>
        <v>15</v>
      </c>
      <c r="AI11" s="29">
        <f t="shared" si="2"/>
        <v>86552.39300000001</v>
      </c>
      <c r="AJ11" s="29">
        <f t="shared" si="2"/>
        <v>83794.582</v>
      </c>
      <c r="AK11" s="29">
        <f t="shared" si="2"/>
        <v>0</v>
      </c>
      <c r="AL11" s="29">
        <f>SUM(AL6:AL10)</f>
        <v>73179</v>
      </c>
      <c r="AM11" s="29">
        <f t="shared" si="2"/>
        <v>121664.807</v>
      </c>
      <c r="AN11" s="29">
        <f t="shared" si="2"/>
        <v>11454</v>
      </c>
      <c r="AO11" s="29">
        <f t="shared" si="2"/>
        <v>125349</v>
      </c>
      <c r="AP11" s="29">
        <f t="shared" si="2"/>
        <v>18612</v>
      </c>
      <c r="AQ11" s="29">
        <f t="shared" si="2"/>
        <v>-11</v>
      </c>
      <c r="AR11" s="29">
        <f t="shared" si="2"/>
        <v>184.716</v>
      </c>
      <c r="AS11" s="29">
        <f t="shared" si="2"/>
        <v>61085</v>
      </c>
      <c r="AT11" s="29">
        <f t="shared" si="2"/>
        <v>1494</v>
      </c>
      <c r="AU11" s="29">
        <f t="shared" si="2"/>
        <v>0</v>
      </c>
      <c r="AV11" s="29">
        <f t="shared" si="2"/>
        <v>28588</v>
      </c>
      <c r="AW11" s="29">
        <f t="shared" si="2"/>
        <v>19415</v>
      </c>
      <c r="AX11" s="29">
        <f t="shared" si="2"/>
        <v>129463</v>
      </c>
      <c r="AY11" s="29">
        <f t="shared" si="2"/>
        <v>28321.089999999997</v>
      </c>
      <c r="AZ11" s="29">
        <f t="shared" si="2"/>
        <v>0</v>
      </c>
      <c r="BB11" s="42">
        <f t="shared" si="0"/>
        <v>66982267.55099999</v>
      </c>
      <c r="BC11" s="29"/>
    </row>
    <row r="12" spans="1:55" ht="7.5" customHeight="1">
      <c r="A12" s="250"/>
      <c r="L12" s="33"/>
      <c r="BC12" s="29"/>
    </row>
    <row r="13" spans="1:55" ht="12.75">
      <c r="A13" s="246" t="s">
        <v>371</v>
      </c>
      <c r="L13" s="33"/>
      <c r="BC13" s="29"/>
    </row>
    <row r="14" spans="1:55" ht="12.75">
      <c r="A14" s="247" t="s">
        <v>372</v>
      </c>
      <c r="B14" s="30">
        <v>9141003.286</v>
      </c>
      <c r="C14" s="30">
        <v>2096874</v>
      </c>
      <c r="D14" s="30">
        <v>1989626.687</v>
      </c>
      <c r="E14" s="30">
        <v>1154389</v>
      </c>
      <c r="F14" s="30">
        <v>1465915.9</v>
      </c>
      <c r="G14" s="30">
        <v>989032</v>
      </c>
      <c r="H14" s="30">
        <v>274339</v>
      </c>
      <c r="I14" s="30">
        <v>586150</v>
      </c>
      <c r="J14" s="30">
        <v>292960</v>
      </c>
      <c r="K14" s="30">
        <v>214340</v>
      </c>
      <c r="L14" s="30">
        <v>797572.679</v>
      </c>
      <c r="M14" s="30">
        <v>387266.579</v>
      </c>
      <c r="N14" s="30">
        <v>296791</v>
      </c>
      <c r="O14" s="30">
        <v>336787</v>
      </c>
      <c r="P14" s="30">
        <v>171903.914</v>
      </c>
      <c r="Q14" s="30">
        <v>125330.973</v>
      </c>
      <c r="R14" s="30">
        <v>482529</v>
      </c>
      <c r="S14" s="30">
        <v>631495</v>
      </c>
      <c r="T14" s="30">
        <v>285171.5</v>
      </c>
      <c r="U14" s="30">
        <v>574405</v>
      </c>
      <c r="V14" s="30">
        <v>288894</v>
      </c>
      <c r="W14" s="30">
        <v>273494</v>
      </c>
      <c r="X14" s="30">
        <v>44273.4</v>
      </c>
      <c r="Y14" s="30">
        <v>226918.277</v>
      </c>
      <c r="Z14" s="30">
        <v>88841.927</v>
      </c>
      <c r="AA14" s="30">
        <v>169827.738</v>
      </c>
      <c r="AB14" s="30">
        <v>17226</v>
      </c>
      <c r="AC14" s="30">
        <v>23257</v>
      </c>
      <c r="AD14" s="30">
        <v>1144976</v>
      </c>
      <c r="AE14" s="30">
        <v>81380</v>
      </c>
      <c r="AF14" s="30">
        <v>146690</v>
      </c>
      <c r="AG14" s="30">
        <v>57058.8</v>
      </c>
      <c r="AH14" s="30">
        <v>92867</v>
      </c>
      <c r="AI14" s="30">
        <v>55025.913</v>
      </c>
      <c r="AJ14" s="30">
        <v>75810.078</v>
      </c>
      <c r="AK14" s="30">
        <v>45456</v>
      </c>
      <c r="AL14" s="30">
        <v>14374</v>
      </c>
      <c r="AM14" s="30">
        <f>38854.111+8920.157+361.824+3172.343+49829.69</f>
        <v>101138.125</v>
      </c>
      <c r="AN14" s="30">
        <v>78430</v>
      </c>
      <c r="AO14" s="30">
        <v>152654</v>
      </c>
      <c r="AP14" s="30">
        <v>50678</v>
      </c>
      <c r="AQ14" s="30">
        <v>36962</v>
      </c>
      <c r="AR14" s="30">
        <v>42319.755</v>
      </c>
      <c r="AS14" s="30">
        <v>60011</v>
      </c>
      <c r="AT14" s="30">
        <v>39357</v>
      </c>
      <c r="AU14" s="30">
        <v>36849</v>
      </c>
      <c r="AV14" s="30">
        <v>31063</v>
      </c>
      <c r="AW14" s="30">
        <v>24768</v>
      </c>
      <c r="AX14" s="30">
        <v>133093</v>
      </c>
      <c r="AY14" s="30">
        <v>52206.603</v>
      </c>
      <c r="AZ14" s="30">
        <v>1155.186</v>
      </c>
      <c r="BB14" s="42">
        <f t="shared" si="0"/>
        <v>25980937.320000008</v>
      </c>
      <c r="BC14" s="29"/>
    </row>
    <row r="15" spans="1:55" ht="12.75">
      <c r="A15" s="247" t="s">
        <v>373</v>
      </c>
      <c r="B15" s="30">
        <v>0</v>
      </c>
      <c r="C15" s="30">
        <v>-3409</v>
      </c>
      <c r="D15" s="30">
        <v>-48043.447</v>
      </c>
      <c r="E15" s="30">
        <v>-803</v>
      </c>
      <c r="F15" s="30">
        <v>-14714.4</v>
      </c>
      <c r="G15" s="30">
        <v>-17462</v>
      </c>
      <c r="H15" s="30">
        <v>0</v>
      </c>
      <c r="I15" s="30">
        <v>0</v>
      </c>
      <c r="J15" s="30">
        <v>0</v>
      </c>
      <c r="K15" s="30">
        <v>-530</v>
      </c>
      <c r="L15" s="30">
        <v>-6070.302</v>
      </c>
      <c r="M15" s="30">
        <v>-6002.624</v>
      </c>
      <c r="N15" s="30">
        <v>0</v>
      </c>
      <c r="O15" s="30">
        <v>-6612</v>
      </c>
      <c r="P15" s="30">
        <v>0</v>
      </c>
      <c r="Q15" s="30">
        <v>0</v>
      </c>
      <c r="R15" s="30">
        <v>-9413</v>
      </c>
      <c r="S15" s="30">
        <v>-72655</v>
      </c>
      <c r="T15" s="30">
        <v>-2637.1</v>
      </c>
      <c r="U15" s="30">
        <v>0</v>
      </c>
      <c r="V15" s="30">
        <v>-6854</v>
      </c>
      <c r="W15" s="30">
        <v>0</v>
      </c>
      <c r="X15" s="30">
        <v>0</v>
      </c>
      <c r="Y15" s="30">
        <v>0</v>
      </c>
      <c r="Z15" s="30">
        <v>0</v>
      </c>
      <c r="AA15" s="30">
        <v>-2667.169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-304.6</v>
      </c>
      <c r="AH15" s="30">
        <v>0</v>
      </c>
      <c r="AI15" s="30">
        <v>-869.4</v>
      </c>
      <c r="AJ15" s="30">
        <v>0</v>
      </c>
      <c r="AK15" s="30">
        <v>0</v>
      </c>
      <c r="AL15" s="30">
        <v>0</v>
      </c>
      <c r="AM15" s="30">
        <v>0</v>
      </c>
      <c r="AN15" s="30">
        <v>-342</v>
      </c>
      <c r="AO15" s="30">
        <v>0</v>
      </c>
      <c r="AP15" s="30">
        <v>0</v>
      </c>
      <c r="AQ15" s="30">
        <v>0</v>
      </c>
      <c r="AR15" s="30">
        <v>-499.667</v>
      </c>
      <c r="AS15" s="30">
        <v>0</v>
      </c>
      <c r="AT15" s="30">
        <v>-1173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B15" s="42">
        <f t="shared" si="0"/>
        <v>-201061.70899999997</v>
      </c>
      <c r="BC15" s="29"/>
    </row>
    <row r="16" spans="1:55" ht="25.5">
      <c r="A16" s="247" t="s">
        <v>374</v>
      </c>
      <c r="B16" s="30">
        <v>1325.284</v>
      </c>
      <c r="C16" s="30">
        <v>1975</v>
      </c>
      <c r="D16" s="30">
        <v>10910.449</v>
      </c>
      <c r="E16" s="30">
        <v>6351</v>
      </c>
      <c r="F16" s="30">
        <v>5072.4</v>
      </c>
      <c r="G16" s="30">
        <v>2891</v>
      </c>
      <c r="H16" s="30">
        <v>565</v>
      </c>
      <c r="I16" s="30">
        <v>0</v>
      </c>
      <c r="J16" s="30">
        <v>0</v>
      </c>
      <c r="K16" s="30">
        <v>675</v>
      </c>
      <c r="L16" s="30">
        <v>0</v>
      </c>
      <c r="M16" s="30">
        <v>1658.25</v>
      </c>
      <c r="N16" s="30">
        <v>0</v>
      </c>
      <c r="O16" s="30">
        <v>3573</v>
      </c>
      <c r="P16" s="30">
        <v>0</v>
      </c>
      <c r="Q16" s="30">
        <v>116.4</v>
      </c>
      <c r="R16" s="30">
        <v>1855</v>
      </c>
      <c r="S16" s="30">
        <v>480</v>
      </c>
      <c r="T16" s="30">
        <v>346.4</v>
      </c>
      <c r="U16" s="30">
        <v>57</v>
      </c>
      <c r="V16" s="30">
        <v>978</v>
      </c>
      <c r="W16" s="30">
        <v>261</v>
      </c>
      <c r="X16" s="30">
        <v>21</v>
      </c>
      <c r="Y16" s="30">
        <v>0</v>
      </c>
      <c r="Z16" s="30">
        <v>0</v>
      </c>
      <c r="AA16" s="30">
        <v>0</v>
      </c>
      <c r="AB16" s="30">
        <v>202</v>
      </c>
      <c r="AC16" s="30">
        <v>0</v>
      </c>
      <c r="AD16" s="30">
        <v>698</v>
      </c>
      <c r="AE16" s="30">
        <v>0</v>
      </c>
      <c r="AF16" s="30">
        <v>0</v>
      </c>
      <c r="AG16" s="30">
        <v>71.8</v>
      </c>
      <c r="AH16" s="30">
        <v>0</v>
      </c>
      <c r="AI16" s="30">
        <v>0</v>
      </c>
      <c r="AJ16" s="30">
        <v>0</v>
      </c>
      <c r="AK16" s="30">
        <v>10</v>
      </c>
      <c r="AL16" s="30">
        <v>0</v>
      </c>
      <c r="AM16" s="30">
        <v>0</v>
      </c>
      <c r="AN16" s="30">
        <v>9</v>
      </c>
      <c r="AO16" s="30">
        <v>94</v>
      </c>
      <c r="AP16" s="30">
        <v>0</v>
      </c>
      <c r="AQ16" s="30">
        <v>0</v>
      </c>
      <c r="AR16" s="30">
        <v>12.726</v>
      </c>
      <c r="AS16" s="30">
        <v>19</v>
      </c>
      <c r="AT16" s="30">
        <v>0</v>
      </c>
      <c r="AU16" s="30">
        <v>0</v>
      </c>
      <c r="AV16" s="30">
        <v>23</v>
      </c>
      <c r="AW16" s="30">
        <v>5</v>
      </c>
      <c r="AX16" s="30">
        <v>0</v>
      </c>
      <c r="AY16" s="30">
        <v>0</v>
      </c>
      <c r="AZ16" s="30">
        <v>0</v>
      </c>
      <c r="BB16" s="42">
        <f t="shared" si="0"/>
        <v>40255.70900000001</v>
      </c>
      <c r="BC16" s="29"/>
    </row>
    <row r="17" spans="1:55" ht="12.75">
      <c r="A17" s="247" t="s">
        <v>375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132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343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B17" s="42">
        <f t="shared" si="0"/>
        <v>343</v>
      </c>
      <c r="BC17" s="29"/>
    </row>
    <row r="18" spans="1:55" ht="5.25" customHeight="1">
      <c r="A18" s="247"/>
      <c r="L18" s="33"/>
      <c r="BC18" s="29"/>
    </row>
    <row r="19" spans="1:55" ht="13.5">
      <c r="A19" s="256" t="s">
        <v>371</v>
      </c>
      <c r="B19" s="29">
        <f>SUM(B14:B18)</f>
        <v>9142328.57</v>
      </c>
      <c r="C19" s="29">
        <f>SUM(C14:C18)</f>
        <v>2095440</v>
      </c>
      <c r="D19" s="29">
        <v>1952493.689</v>
      </c>
      <c r="E19" s="29">
        <f>SUM(E14:E18)</f>
        <v>1159937</v>
      </c>
      <c r="F19" s="29">
        <f>SUM(F14:F18)</f>
        <v>1456273.9</v>
      </c>
      <c r="G19" s="29">
        <f>SUM(G14:G18)</f>
        <v>974461</v>
      </c>
      <c r="H19" s="29">
        <f>SUM(H14:H17)</f>
        <v>274904</v>
      </c>
      <c r="I19" s="29">
        <f aca="true" t="shared" si="3" ref="I19:AZ19">SUM(I14:I17)</f>
        <v>586150</v>
      </c>
      <c r="J19" s="29">
        <f>SUM(J14:J17)</f>
        <v>292960</v>
      </c>
      <c r="K19" s="29">
        <f>SUM(K14:K17)</f>
        <v>214485</v>
      </c>
      <c r="L19" s="29">
        <f t="shared" si="3"/>
        <v>791502.377</v>
      </c>
      <c r="M19" s="29">
        <f t="shared" si="3"/>
        <v>382922.205</v>
      </c>
      <c r="N19" s="29">
        <f>SUM(N14:N17)</f>
        <v>296791</v>
      </c>
      <c r="O19" s="29">
        <f t="shared" si="3"/>
        <v>333748</v>
      </c>
      <c r="P19" s="29">
        <f>SUM(P14:P17)</f>
        <v>171903.914</v>
      </c>
      <c r="Q19" s="29">
        <f t="shared" si="3"/>
        <v>125447.37299999999</v>
      </c>
      <c r="R19" s="29">
        <f t="shared" si="3"/>
        <v>474971</v>
      </c>
      <c r="S19" s="29">
        <f>SUM(S14:S17)</f>
        <v>559320</v>
      </c>
      <c r="T19" s="29">
        <f t="shared" si="3"/>
        <v>282880.80000000005</v>
      </c>
      <c r="U19" s="29">
        <f t="shared" si="3"/>
        <v>574462</v>
      </c>
      <c r="V19" s="29">
        <f t="shared" si="3"/>
        <v>283018</v>
      </c>
      <c r="W19" s="29">
        <f t="shared" si="3"/>
        <v>273755</v>
      </c>
      <c r="X19" s="29">
        <f t="shared" si="3"/>
        <v>44294.4</v>
      </c>
      <c r="Y19" s="29">
        <f t="shared" si="3"/>
        <v>226918.277</v>
      </c>
      <c r="Z19" s="29">
        <f>SUM(Z14:Z17)</f>
        <v>88841.927</v>
      </c>
      <c r="AA19" s="29">
        <f t="shared" si="3"/>
        <v>167160.56900000002</v>
      </c>
      <c r="AB19" s="29">
        <f>SUM(AB14:AB17)</f>
        <v>17428</v>
      </c>
      <c r="AC19" s="29">
        <f>SUM(AC14:AC17)</f>
        <v>23600</v>
      </c>
      <c r="AD19" s="29">
        <f t="shared" si="3"/>
        <v>1145674</v>
      </c>
      <c r="AE19" s="29">
        <f t="shared" si="3"/>
        <v>81380</v>
      </c>
      <c r="AF19" s="29">
        <f t="shared" si="3"/>
        <v>146690</v>
      </c>
      <c r="AG19" s="29">
        <f t="shared" si="3"/>
        <v>56826.00000000001</v>
      </c>
      <c r="AH19" s="29">
        <f t="shared" si="3"/>
        <v>92867</v>
      </c>
      <c r="AI19" s="29">
        <f t="shared" si="3"/>
        <v>54156.513</v>
      </c>
      <c r="AJ19" s="29">
        <f t="shared" si="3"/>
        <v>75810.078</v>
      </c>
      <c r="AK19" s="29">
        <f t="shared" si="3"/>
        <v>45466</v>
      </c>
      <c r="AL19" s="29">
        <f>SUM(AL14:AL17)</f>
        <v>14374</v>
      </c>
      <c r="AM19" s="29">
        <f t="shared" si="3"/>
        <v>101138.125</v>
      </c>
      <c r="AN19" s="29">
        <f t="shared" si="3"/>
        <v>78097</v>
      </c>
      <c r="AO19" s="29">
        <f t="shared" si="3"/>
        <v>152748</v>
      </c>
      <c r="AP19" s="29">
        <f t="shared" si="3"/>
        <v>50678</v>
      </c>
      <c r="AQ19" s="29">
        <f t="shared" si="3"/>
        <v>36962</v>
      </c>
      <c r="AR19" s="29">
        <f t="shared" si="3"/>
        <v>41832.814</v>
      </c>
      <c r="AS19" s="29">
        <f t="shared" si="3"/>
        <v>60030</v>
      </c>
      <c r="AT19" s="29">
        <f t="shared" si="3"/>
        <v>38184</v>
      </c>
      <c r="AU19" s="29">
        <f t="shared" si="3"/>
        <v>36849</v>
      </c>
      <c r="AV19" s="29">
        <f t="shared" si="3"/>
        <v>31086</v>
      </c>
      <c r="AW19" s="29">
        <f t="shared" si="3"/>
        <v>24773</v>
      </c>
      <c r="AX19" s="29">
        <f t="shared" si="3"/>
        <v>133093</v>
      </c>
      <c r="AY19" s="29">
        <f t="shared" si="3"/>
        <v>52206.603</v>
      </c>
      <c r="AZ19" s="29">
        <f t="shared" si="3"/>
        <v>1155.186</v>
      </c>
      <c r="BA19" s="29"/>
      <c r="BB19" s="42">
        <f t="shared" si="0"/>
        <v>25820474.32</v>
      </c>
      <c r="BC19" s="29"/>
    </row>
    <row r="20" spans="1:55" ht="6" customHeight="1">
      <c r="A20" s="250"/>
      <c r="L20" s="33"/>
      <c r="BC20" s="29"/>
    </row>
    <row r="21" spans="1:55" ht="12.75">
      <c r="A21" s="246" t="s">
        <v>376</v>
      </c>
      <c r="L21" s="33"/>
      <c r="BC21" s="29"/>
    </row>
    <row r="22" spans="1:55" ht="12.75">
      <c r="A22" s="247" t="s">
        <v>377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-4554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-566950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B22" s="42">
        <f t="shared" si="0"/>
        <v>-571504</v>
      </c>
      <c r="BC22" s="29"/>
    </row>
    <row r="23" spans="1:55" ht="12.75">
      <c r="A23" s="247" t="s">
        <v>378</v>
      </c>
      <c r="B23" s="30">
        <v>0</v>
      </c>
      <c r="C23" s="30">
        <v>0</v>
      </c>
      <c r="D23" s="30">
        <v>866.735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/>
      <c r="S23" s="30">
        <v>0</v>
      </c>
      <c r="T23" s="30">
        <v>866.7</v>
      </c>
      <c r="U23" s="30">
        <v>555152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B23" s="42">
        <f t="shared" si="0"/>
        <v>556885.435</v>
      </c>
      <c r="BC23" s="29"/>
    </row>
    <row r="24" spans="1:55" ht="12.75">
      <c r="A24" s="247" t="s">
        <v>379</v>
      </c>
      <c r="B24" s="30">
        <v>-5440438.789</v>
      </c>
      <c r="C24" s="30">
        <v>-6284463</v>
      </c>
      <c r="D24" s="30">
        <v>-2218171.178</v>
      </c>
      <c r="E24" s="30">
        <v>1173443</v>
      </c>
      <c r="F24" s="30">
        <v>-2430726.45</v>
      </c>
      <c r="G24" s="30">
        <v>-754619</v>
      </c>
      <c r="H24" s="30">
        <v>-892807</v>
      </c>
      <c r="I24" s="30">
        <v>-8768</v>
      </c>
      <c r="J24" s="30">
        <v>-346235</v>
      </c>
      <c r="K24" s="30">
        <v>-1538293</v>
      </c>
      <c r="L24" s="30">
        <v>-150445.9</v>
      </c>
      <c r="M24" s="30">
        <v>56912.135</v>
      </c>
      <c r="N24" s="30">
        <v>-224840</v>
      </c>
      <c r="O24" s="30">
        <v>-454413.5</v>
      </c>
      <c r="P24" s="30">
        <v>-915.635</v>
      </c>
      <c r="Q24" s="30">
        <v>-1373800.102</v>
      </c>
      <c r="R24" s="30">
        <v>-274050</v>
      </c>
      <c r="S24" s="30">
        <v>-11240</v>
      </c>
      <c r="T24" s="30">
        <v>216346.2</v>
      </c>
      <c r="U24" s="30">
        <v>0</v>
      </c>
      <c r="V24" s="30">
        <v>-27094</v>
      </c>
      <c r="W24" s="30">
        <v>23255</v>
      </c>
      <c r="X24" s="30">
        <v>-966.4</v>
      </c>
      <c r="Y24" s="30">
        <v>84528.308</v>
      </c>
      <c r="Z24" s="30">
        <v>5250.647</v>
      </c>
      <c r="AA24" s="30">
        <v>-71992.473</v>
      </c>
      <c r="AB24" s="30">
        <v>-31039</v>
      </c>
      <c r="AC24" s="30">
        <v>-6096.2</v>
      </c>
      <c r="AD24" s="30">
        <v>-5952</v>
      </c>
      <c r="AE24" s="30">
        <v>-87</v>
      </c>
      <c r="AF24" s="30">
        <v>79255</v>
      </c>
      <c r="AG24" s="30">
        <v>-3737.9</v>
      </c>
      <c r="AH24" s="30">
        <v>661</v>
      </c>
      <c r="AI24" s="30">
        <v>-217042.162</v>
      </c>
      <c r="AJ24" s="30">
        <v>-38403.078</v>
      </c>
      <c r="AK24" s="30">
        <v>-8290</v>
      </c>
      <c r="AL24" s="30">
        <v>335</v>
      </c>
      <c r="AM24" s="30">
        <v>3940.555</v>
      </c>
      <c r="AN24" s="30">
        <v>108</v>
      </c>
      <c r="AO24" s="30">
        <v>-55144</v>
      </c>
      <c r="AP24" s="30">
        <v>5737</v>
      </c>
      <c r="AQ24" s="30">
        <v>90</v>
      </c>
      <c r="AR24" s="29">
        <v>-1019.01</v>
      </c>
      <c r="AS24" s="30">
        <v>-3282</v>
      </c>
      <c r="AT24" s="30">
        <v>20</v>
      </c>
      <c r="AU24" s="30">
        <v>146</v>
      </c>
      <c r="AV24" s="30">
        <v>0</v>
      </c>
      <c r="AW24" s="30">
        <v>3081</v>
      </c>
      <c r="AX24" s="30">
        <v>0</v>
      </c>
      <c r="AY24" s="30">
        <v>0</v>
      </c>
      <c r="AZ24" s="30">
        <v>0</v>
      </c>
      <c r="BB24" s="42">
        <f t="shared" si="0"/>
        <v>-21221262.932000004</v>
      </c>
      <c r="BC24" s="29"/>
    </row>
    <row r="25" spans="1:55" ht="12.75">
      <c r="A25" s="247" t="s">
        <v>380</v>
      </c>
      <c r="B25" s="30">
        <v>0</v>
      </c>
      <c r="C25" s="30">
        <v>-613</v>
      </c>
      <c r="D25" s="30">
        <v>0</v>
      </c>
      <c r="E25" s="30">
        <v>1787</v>
      </c>
      <c r="F25" s="30">
        <v>8003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-3772.028</v>
      </c>
      <c r="M25" s="30">
        <v>0</v>
      </c>
      <c r="N25" s="30">
        <v>0</v>
      </c>
      <c r="O25" s="30">
        <v>768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96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300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29">
        <v>0</v>
      </c>
      <c r="AS25" s="29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B25" s="42">
        <f t="shared" si="0"/>
        <v>6568.972</v>
      </c>
      <c r="BC25" s="29"/>
    </row>
    <row r="26" spans="1:55" ht="12.75">
      <c r="A26" s="247" t="s">
        <v>381</v>
      </c>
      <c r="B26" s="30">
        <v>6523910.949999999</v>
      </c>
      <c r="C26" s="30">
        <v>5645478</v>
      </c>
      <c r="D26" s="30">
        <v>2808813.263</v>
      </c>
      <c r="E26" s="30">
        <v>39022</v>
      </c>
      <c r="F26" s="30">
        <v>-1469297.5</v>
      </c>
      <c r="G26" s="30">
        <v>657383</v>
      </c>
      <c r="H26" s="30">
        <v>1524305</v>
      </c>
      <c r="I26" s="30">
        <v>337593</v>
      </c>
      <c r="J26" s="30">
        <v>-955132</v>
      </c>
      <c r="K26" s="30">
        <v>1256379</v>
      </c>
      <c r="L26" s="30">
        <v>850577.4</v>
      </c>
      <c r="M26" s="30">
        <v>-1153943.075</v>
      </c>
      <c r="N26" s="30">
        <v>-31693</v>
      </c>
      <c r="O26" s="30">
        <v>-19072.5</v>
      </c>
      <c r="P26" s="30">
        <v>-625326.98</v>
      </c>
      <c r="Q26" s="30">
        <v>380109.157</v>
      </c>
      <c r="R26" s="30">
        <v>27149</v>
      </c>
      <c r="S26" s="30">
        <v>-324925</v>
      </c>
      <c r="T26" s="30">
        <v>4748.1</v>
      </c>
      <c r="U26" s="30">
        <v>0</v>
      </c>
      <c r="V26" s="30">
        <v>227532</v>
      </c>
      <c r="W26" s="30">
        <v>-153435</v>
      </c>
      <c r="X26" s="30">
        <v>-327516.5</v>
      </c>
      <c r="Y26" s="30">
        <v>388595.231</v>
      </c>
      <c r="Z26" s="30">
        <v>67858.062</v>
      </c>
      <c r="AA26" s="30">
        <v>-86204.138</v>
      </c>
      <c r="AB26" s="30">
        <v>58014</v>
      </c>
      <c r="AC26" s="30">
        <v>-44544.4</v>
      </c>
      <c r="AD26" s="30">
        <v>233902</v>
      </c>
      <c r="AE26" s="30">
        <v>-28760</v>
      </c>
      <c r="AF26" s="30">
        <v>137651</v>
      </c>
      <c r="AG26" s="30">
        <v>153259.9</v>
      </c>
      <c r="AH26" s="30">
        <v>99285</v>
      </c>
      <c r="AI26" s="30">
        <v>104026.71</v>
      </c>
      <c r="AJ26" s="30">
        <v>-48814.674</v>
      </c>
      <c r="AK26" s="30">
        <v>-10307</v>
      </c>
      <c r="AL26" s="30">
        <v>74601</v>
      </c>
      <c r="AM26" s="30">
        <v>-3375.522</v>
      </c>
      <c r="AN26" s="30">
        <v>61466</v>
      </c>
      <c r="AO26" s="30">
        <v>55668</v>
      </c>
      <c r="AP26" s="30">
        <v>48577</v>
      </c>
      <c r="AQ26" s="30">
        <v>49796</v>
      </c>
      <c r="AR26" s="29">
        <v>28972.672</v>
      </c>
      <c r="AS26" s="30">
        <v>-4025</v>
      </c>
      <c r="AT26" s="30">
        <v>40975</v>
      </c>
      <c r="AU26" s="30">
        <v>37643</v>
      </c>
      <c r="AV26" s="30">
        <v>24887</v>
      </c>
      <c r="AW26" s="30">
        <v>10420</v>
      </c>
      <c r="AX26" s="30">
        <v>6138</v>
      </c>
      <c r="AY26" s="30">
        <v>3701.656</v>
      </c>
      <c r="AZ26" s="30">
        <f>972.131+130.579</f>
        <v>1102.71</v>
      </c>
      <c r="BB26" s="42">
        <f t="shared" si="0"/>
        <v>16683167.522</v>
      </c>
      <c r="BC26" s="29"/>
    </row>
    <row r="27" spans="1:55" ht="25.5">
      <c r="A27" s="247" t="s">
        <v>382</v>
      </c>
      <c r="B27" s="30">
        <v>0</v>
      </c>
      <c r="C27" s="30">
        <v>0</v>
      </c>
      <c r="D27" s="30">
        <v>8932.494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-15352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-69368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B27" s="42">
        <f t="shared" si="0"/>
        <v>-75787.506</v>
      </c>
      <c r="BC27" s="29"/>
    </row>
    <row r="28" spans="1:55" ht="12.75">
      <c r="A28" s="247" t="s">
        <v>383</v>
      </c>
      <c r="B28" s="30">
        <v>0</v>
      </c>
      <c r="C28" s="30">
        <v>0</v>
      </c>
      <c r="D28" s="30">
        <v>0</v>
      </c>
      <c r="E28" s="30">
        <v>0</v>
      </c>
      <c r="F28" s="30">
        <v>35157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B28" s="42">
        <f t="shared" si="0"/>
        <v>35157</v>
      </c>
      <c r="BC28" s="29"/>
    </row>
    <row r="29" spans="1:55" ht="12.75">
      <c r="A29" s="247" t="s">
        <v>384</v>
      </c>
      <c r="B29" s="30">
        <v>-13918</v>
      </c>
      <c r="C29" s="30">
        <v>0</v>
      </c>
      <c r="D29" s="30">
        <v>-40000</v>
      </c>
      <c r="E29" s="30">
        <v>-12775</v>
      </c>
      <c r="F29" s="30">
        <v>45987</v>
      </c>
      <c r="G29" s="30">
        <v>-17640</v>
      </c>
      <c r="H29" s="30">
        <v>-2131</v>
      </c>
      <c r="I29" s="30">
        <v>-12000</v>
      </c>
      <c r="J29" s="30">
        <v>0</v>
      </c>
      <c r="K29" s="30">
        <v>-28674</v>
      </c>
      <c r="L29" s="30">
        <v>-27994.9</v>
      </c>
      <c r="M29" s="30">
        <v>-215750.704</v>
      </c>
      <c r="N29" s="30">
        <v>0</v>
      </c>
      <c r="O29" s="30">
        <v>0</v>
      </c>
      <c r="P29" s="30">
        <v>0</v>
      </c>
      <c r="Q29" s="30">
        <v>0</v>
      </c>
      <c r="R29" s="30">
        <v>-3631</v>
      </c>
      <c r="S29" s="30">
        <v>-2486</v>
      </c>
      <c r="T29" s="30">
        <v>0</v>
      </c>
      <c r="U29" s="30">
        <v>-2000</v>
      </c>
      <c r="V29" s="30">
        <v>-13009</v>
      </c>
      <c r="W29" s="30">
        <v>0</v>
      </c>
      <c r="X29" s="30">
        <v>0</v>
      </c>
      <c r="Y29" s="30">
        <v>-205.248</v>
      </c>
      <c r="Z29" s="30">
        <v>-2716.569</v>
      </c>
      <c r="AA29" s="30">
        <v>-11000</v>
      </c>
      <c r="AB29" s="30">
        <v>-2852</v>
      </c>
      <c r="AC29" s="30">
        <v>0</v>
      </c>
      <c r="AD29" s="30">
        <v>-8364</v>
      </c>
      <c r="AE29" s="30">
        <v>0</v>
      </c>
      <c r="AF29" s="30">
        <v>0</v>
      </c>
      <c r="AG29" s="30">
        <v>-7849.7</v>
      </c>
      <c r="AH29" s="30">
        <v>-12</v>
      </c>
      <c r="AI29" s="30">
        <v>0</v>
      </c>
      <c r="AJ29" s="30">
        <v>0</v>
      </c>
      <c r="AK29" s="30">
        <v>0</v>
      </c>
      <c r="AL29" s="30">
        <v>-814</v>
      </c>
      <c r="AM29" s="30">
        <v>5650</v>
      </c>
      <c r="AN29" s="30">
        <v>-358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11</v>
      </c>
      <c r="AW29" s="30">
        <v>0</v>
      </c>
      <c r="AX29" s="30">
        <v>100</v>
      </c>
      <c r="AY29" s="30">
        <v>0</v>
      </c>
      <c r="AZ29" s="30">
        <v>0</v>
      </c>
      <c r="BB29" s="42">
        <f t="shared" si="0"/>
        <v>-374433.12100000004</v>
      </c>
      <c r="BC29" s="29"/>
    </row>
    <row r="30" spans="1:55" ht="12.75">
      <c r="A30" s="247" t="s">
        <v>385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170864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2325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B30" s="42">
        <f t="shared" si="0"/>
        <v>173189</v>
      </c>
      <c r="BC30" s="29"/>
    </row>
    <row r="31" spans="1:55" ht="12.75" customHeight="1">
      <c r="A31" s="247" t="s">
        <v>386</v>
      </c>
      <c r="L31" s="33"/>
      <c r="BC31" s="29"/>
    </row>
    <row r="32" spans="1:55" ht="13.5">
      <c r="A32" s="256" t="s">
        <v>376</v>
      </c>
      <c r="B32" s="29">
        <f aca="true" t="shared" si="4" ref="B32:AG32">SUM(B22:B31)</f>
        <v>1069554.1609999994</v>
      </c>
      <c r="C32" s="29">
        <f t="shared" si="4"/>
        <v>-639598</v>
      </c>
      <c r="D32" s="29">
        <f t="shared" si="4"/>
        <v>560441.3139999998</v>
      </c>
      <c r="E32" s="29">
        <f t="shared" si="4"/>
        <v>1201477</v>
      </c>
      <c r="F32" s="29">
        <f t="shared" si="4"/>
        <v>-3810876.95</v>
      </c>
      <c r="G32" s="29">
        <f t="shared" si="4"/>
        <v>51434</v>
      </c>
      <c r="H32" s="29">
        <f t="shared" si="4"/>
        <v>629367</v>
      </c>
      <c r="I32" s="29">
        <f t="shared" si="4"/>
        <v>316825</v>
      </c>
      <c r="J32" s="29">
        <f t="shared" si="4"/>
        <v>-1301367</v>
      </c>
      <c r="K32" s="29">
        <f t="shared" si="4"/>
        <v>-310588</v>
      </c>
      <c r="L32" s="29">
        <f t="shared" si="4"/>
        <v>668364.572</v>
      </c>
      <c r="M32" s="29">
        <f t="shared" si="4"/>
        <v>-1312781.6439999999</v>
      </c>
      <c r="N32" s="29">
        <f t="shared" si="4"/>
        <v>-256533</v>
      </c>
      <c r="O32" s="29">
        <f t="shared" si="4"/>
        <v>-488070</v>
      </c>
      <c r="P32" s="29">
        <f t="shared" si="4"/>
        <v>-626242.615</v>
      </c>
      <c r="Q32" s="29">
        <f t="shared" si="4"/>
        <v>-993690.945</v>
      </c>
      <c r="R32" s="29">
        <f t="shared" si="4"/>
        <v>-250532</v>
      </c>
      <c r="S32" s="29">
        <f t="shared" si="4"/>
        <v>-338651</v>
      </c>
      <c r="T32" s="29">
        <f t="shared" si="4"/>
        <v>221961.00000000003</v>
      </c>
      <c r="U32" s="29">
        <f t="shared" si="4"/>
        <v>-13798</v>
      </c>
      <c r="V32" s="29">
        <f t="shared" si="4"/>
        <v>187525</v>
      </c>
      <c r="W32" s="29">
        <f t="shared" si="4"/>
        <v>-130180</v>
      </c>
      <c r="X32" s="29">
        <f t="shared" si="4"/>
        <v>-328482.9</v>
      </c>
      <c r="Y32" s="29">
        <f t="shared" si="4"/>
        <v>472918.291</v>
      </c>
      <c r="Z32" s="29">
        <f t="shared" si="4"/>
        <v>70392.14</v>
      </c>
      <c r="AA32" s="29">
        <f t="shared" si="4"/>
        <v>-169196.611</v>
      </c>
      <c r="AB32" s="29">
        <f t="shared" si="4"/>
        <v>24123</v>
      </c>
      <c r="AC32" s="29">
        <f t="shared" si="4"/>
        <v>-50640.6</v>
      </c>
      <c r="AD32" s="29">
        <f t="shared" si="4"/>
        <v>219586</v>
      </c>
      <c r="AE32" s="29">
        <f t="shared" si="4"/>
        <v>-28847</v>
      </c>
      <c r="AF32" s="29">
        <f t="shared" si="4"/>
        <v>216906</v>
      </c>
      <c r="AG32" s="29">
        <f t="shared" si="4"/>
        <v>141972.3</v>
      </c>
      <c r="AH32" s="29">
        <f aca="true" t="shared" si="5" ref="AH32:AZ32">SUM(AH22:AH31)</f>
        <v>99934</v>
      </c>
      <c r="AI32" s="29">
        <f t="shared" si="5"/>
        <v>-113015.452</v>
      </c>
      <c r="AJ32" s="29">
        <f t="shared" si="5"/>
        <v>-87217.75200000001</v>
      </c>
      <c r="AK32" s="29">
        <f t="shared" si="5"/>
        <v>-18597</v>
      </c>
      <c r="AL32" s="29">
        <f t="shared" si="5"/>
        <v>74122</v>
      </c>
      <c r="AM32" s="29">
        <f t="shared" si="5"/>
        <v>6215.032999999999</v>
      </c>
      <c r="AN32" s="29">
        <f t="shared" si="5"/>
        <v>61216</v>
      </c>
      <c r="AO32" s="29">
        <f t="shared" si="5"/>
        <v>2849</v>
      </c>
      <c r="AP32" s="29">
        <f t="shared" si="5"/>
        <v>-15054</v>
      </c>
      <c r="AQ32" s="29">
        <f t="shared" si="5"/>
        <v>49886</v>
      </c>
      <c r="AR32" s="29">
        <f t="shared" si="5"/>
        <v>27953.662</v>
      </c>
      <c r="AS32" s="29">
        <f t="shared" si="5"/>
        <v>-7307</v>
      </c>
      <c r="AT32" s="29">
        <f t="shared" si="5"/>
        <v>40995</v>
      </c>
      <c r="AU32" s="29">
        <f t="shared" si="5"/>
        <v>37789</v>
      </c>
      <c r="AV32" s="29">
        <f t="shared" si="5"/>
        <v>24898</v>
      </c>
      <c r="AW32" s="29">
        <f t="shared" si="5"/>
        <v>13501</v>
      </c>
      <c r="AX32" s="29">
        <f t="shared" si="5"/>
        <v>6238</v>
      </c>
      <c r="AY32" s="29">
        <f t="shared" si="5"/>
        <v>3701.656</v>
      </c>
      <c r="AZ32" s="29">
        <f t="shared" si="5"/>
        <v>1102.71</v>
      </c>
      <c r="BB32" s="42">
        <f t="shared" si="0"/>
        <v>-4788019.630000001</v>
      </c>
      <c r="BC32" s="29"/>
    </row>
    <row r="33" spans="1:55" ht="8.25" customHeight="1">
      <c r="A33" s="250"/>
      <c r="L33" s="33"/>
      <c r="BC33" s="29"/>
    </row>
    <row r="34" spans="1:55" ht="12.75">
      <c r="A34" s="246" t="s">
        <v>387</v>
      </c>
      <c r="L34" s="33"/>
      <c r="BC34" s="29"/>
    </row>
    <row r="35" spans="1:55" ht="12.75">
      <c r="A35" s="247" t="s">
        <v>388</v>
      </c>
      <c r="B35" s="30">
        <v>112593.454</v>
      </c>
      <c r="C35" s="30">
        <v>121093</v>
      </c>
      <c r="D35" s="30">
        <v>42672.889</v>
      </c>
      <c r="E35" s="30">
        <v>24054</v>
      </c>
      <c r="F35" s="30">
        <v>90011</v>
      </c>
      <c r="G35" s="30">
        <v>15134</v>
      </c>
      <c r="H35" s="30">
        <v>21338</v>
      </c>
      <c r="I35" s="30">
        <v>5924.4</v>
      </c>
      <c r="J35" s="30">
        <v>0</v>
      </c>
      <c r="K35" s="30">
        <v>38447</v>
      </c>
      <c r="L35" s="30">
        <v>24568.712</v>
      </c>
      <c r="M35" s="30">
        <v>9901.715</v>
      </c>
      <c r="N35" s="30">
        <v>6567</v>
      </c>
      <c r="O35" s="30">
        <v>17511</v>
      </c>
      <c r="P35" s="30">
        <v>14706.247</v>
      </c>
      <c r="Q35" s="30">
        <v>27566.333</v>
      </c>
      <c r="R35" s="30">
        <v>20336</v>
      </c>
      <c r="S35" s="30">
        <v>8827</v>
      </c>
      <c r="T35" s="30">
        <v>11205.2</v>
      </c>
      <c r="U35" s="30">
        <v>11288</v>
      </c>
      <c r="V35" s="30">
        <v>13024</v>
      </c>
      <c r="W35" s="30">
        <v>4488</v>
      </c>
      <c r="X35" s="30">
        <v>1123.4</v>
      </c>
      <c r="Y35" s="30">
        <v>1848.313</v>
      </c>
      <c r="Z35" s="30">
        <v>11908.999000000002</v>
      </c>
      <c r="AA35" s="30">
        <v>13084.226</v>
      </c>
      <c r="AB35" s="30">
        <v>4776</v>
      </c>
      <c r="AC35" s="30">
        <v>7216</v>
      </c>
      <c r="AD35" s="30">
        <v>0</v>
      </c>
      <c r="AE35" s="30">
        <v>721</v>
      </c>
      <c r="AF35" s="30">
        <v>1022</v>
      </c>
      <c r="AG35" s="30">
        <v>6392</v>
      </c>
      <c r="AH35" s="30">
        <v>1837</v>
      </c>
      <c r="AI35" s="30">
        <v>0</v>
      </c>
      <c r="AJ35" s="30">
        <v>995.2</v>
      </c>
      <c r="AK35" s="30">
        <v>0</v>
      </c>
      <c r="AL35" s="30">
        <v>117</v>
      </c>
      <c r="AM35" s="30">
        <v>1509.644</v>
      </c>
      <c r="AN35" s="30">
        <v>672</v>
      </c>
      <c r="AO35" s="30">
        <v>1109</v>
      </c>
      <c r="AP35" s="30">
        <v>0</v>
      </c>
      <c r="AQ35" s="30">
        <v>550</v>
      </c>
      <c r="AR35" s="30">
        <v>105.656</v>
      </c>
      <c r="AS35" s="30">
        <v>630</v>
      </c>
      <c r="AT35" s="30">
        <v>40</v>
      </c>
      <c r="AU35" s="30">
        <v>139</v>
      </c>
      <c r="AV35" s="30">
        <v>0</v>
      </c>
      <c r="AW35" s="30">
        <v>1327</v>
      </c>
      <c r="AX35" s="30">
        <v>0</v>
      </c>
      <c r="AY35" s="30">
        <v>0</v>
      </c>
      <c r="AZ35" s="30">
        <v>231.328</v>
      </c>
      <c r="BB35" s="42">
        <f t="shared" si="0"/>
        <v>698611.7159999998</v>
      </c>
      <c r="BC35" s="29"/>
    </row>
    <row r="36" spans="1:55" ht="12.75">
      <c r="A36" s="247" t="s">
        <v>389</v>
      </c>
      <c r="B36" s="30">
        <v>0</v>
      </c>
      <c r="C36" s="30">
        <v>0</v>
      </c>
      <c r="D36" s="30">
        <v>-12193.285</v>
      </c>
      <c r="E36" s="30">
        <v>0</v>
      </c>
      <c r="F36" s="30">
        <v>6303</v>
      </c>
      <c r="G36" s="30">
        <v>862</v>
      </c>
      <c r="H36" s="30">
        <v>2198</v>
      </c>
      <c r="I36" s="30">
        <v>0</v>
      </c>
      <c r="J36" s="30">
        <v>0</v>
      </c>
      <c r="K36" s="30">
        <v>0</v>
      </c>
      <c r="L36" s="30">
        <v>18695.033</v>
      </c>
      <c r="M36" s="30">
        <v>0</v>
      </c>
      <c r="N36" s="30">
        <v>0</v>
      </c>
      <c r="O36" s="30">
        <v>704</v>
      </c>
      <c r="P36" s="30">
        <v>220.092</v>
      </c>
      <c r="Q36" s="30">
        <v>0</v>
      </c>
      <c r="R36" s="30">
        <v>0</v>
      </c>
      <c r="S36" s="30">
        <v>459</v>
      </c>
      <c r="T36" s="30">
        <v>0</v>
      </c>
      <c r="U36" s="30">
        <v>0</v>
      </c>
      <c r="V36" s="30">
        <v>0</v>
      </c>
      <c r="W36" s="30">
        <v>27</v>
      </c>
      <c r="X36" s="30">
        <v>411.4</v>
      </c>
      <c r="Y36" s="30">
        <v>0</v>
      </c>
      <c r="Z36" s="30">
        <v>0</v>
      </c>
      <c r="AA36" s="30">
        <v>0</v>
      </c>
      <c r="AB36" s="30">
        <v>0</v>
      </c>
      <c r="AC36" s="30">
        <v>35.4</v>
      </c>
      <c r="AD36" s="30">
        <v>12104</v>
      </c>
      <c r="AE36" s="30">
        <v>449</v>
      </c>
      <c r="AF36" s="30">
        <v>0</v>
      </c>
      <c r="AG36" s="30">
        <v>0</v>
      </c>
      <c r="AH36" s="30">
        <v>156</v>
      </c>
      <c r="AI36" s="30">
        <v>0</v>
      </c>
      <c r="AJ36" s="30">
        <v>0</v>
      </c>
      <c r="AK36" s="30">
        <v>0</v>
      </c>
      <c r="AL36" s="30">
        <v>1636</v>
      </c>
      <c r="AM36" s="30">
        <v>0</v>
      </c>
      <c r="AN36" s="30">
        <v>51</v>
      </c>
      <c r="AO36" s="30">
        <v>0</v>
      </c>
      <c r="AP36" s="30">
        <v>410</v>
      </c>
      <c r="AQ36" s="30">
        <v>69</v>
      </c>
      <c r="AR36" s="30">
        <v>0</v>
      </c>
      <c r="AS36" s="30">
        <v>0</v>
      </c>
      <c r="AT36" s="30">
        <v>10</v>
      </c>
      <c r="AU36" s="30">
        <v>0</v>
      </c>
      <c r="AV36" s="30">
        <v>0</v>
      </c>
      <c r="AW36" s="30">
        <v>0</v>
      </c>
      <c r="AX36" s="30">
        <v>1</v>
      </c>
      <c r="AY36" s="30">
        <v>0</v>
      </c>
      <c r="AZ36" s="30">
        <v>0</v>
      </c>
      <c r="BB36" s="42">
        <f t="shared" si="0"/>
        <v>32607.640000000003</v>
      </c>
      <c r="BC36" s="29"/>
    </row>
    <row r="37" spans="1:55" ht="12.75">
      <c r="A37" s="254" t="s">
        <v>390</v>
      </c>
      <c r="B37" s="30">
        <v>0</v>
      </c>
      <c r="C37" s="30">
        <v>0</v>
      </c>
      <c r="D37" s="30">
        <v>9083.293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291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B37" s="42">
        <f t="shared" si="0"/>
        <v>9374.293</v>
      </c>
      <c r="BC37" s="29"/>
    </row>
    <row r="38" spans="1:55" ht="12.75">
      <c r="A38" s="247" t="s">
        <v>391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B38" s="42">
        <f t="shared" si="0"/>
        <v>0</v>
      </c>
      <c r="BC38" s="29"/>
    </row>
    <row r="39" spans="1:55" ht="12.75">
      <c r="A39" s="247" t="s">
        <v>392</v>
      </c>
      <c r="B39" s="30">
        <v>176562.5</v>
      </c>
      <c r="C39" s="30">
        <v>0</v>
      </c>
      <c r="D39" s="30">
        <v>52.831</v>
      </c>
      <c r="E39" s="30">
        <v>0</v>
      </c>
      <c r="F39" s="30">
        <v>0</v>
      </c>
      <c r="G39" s="30">
        <v>8765</v>
      </c>
      <c r="H39" s="30">
        <v>0</v>
      </c>
      <c r="I39" s="30">
        <v>0</v>
      </c>
      <c r="J39" s="30">
        <v>69486</v>
      </c>
      <c r="K39" s="42">
        <v>0</v>
      </c>
      <c r="L39" s="30">
        <v>0</v>
      </c>
      <c r="M39" s="30">
        <v>13886.832</v>
      </c>
      <c r="N39" s="30">
        <v>0</v>
      </c>
      <c r="O39" s="30">
        <v>0</v>
      </c>
      <c r="P39" s="30">
        <v>0</v>
      </c>
      <c r="Q39" s="30">
        <v>0</v>
      </c>
      <c r="R39" s="30">
        <v>721</v>
      </c>
      <c r="S39" s="30">
        <v>10539</v>
      </c>
      <c r="T39" s="30">
        <v>3734.9</v>
      </c>
      <c r="U39" s="30">
        <v>17343</v>
      </c>
      <c r="V39" s="30">
        <v>1998</v>
      </c>
      <c r="W39" s="30">
        <v>1406</v>
      </c>
      <c r="X39" s="30">
        <v>0</v>
      </c>
      <c r="Y39" s="30">
        <v>0</v>
      </c>
      <c r="Z39" s="30">
        <v>9009.332999999999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28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107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1116.43</v>
      </c>
      <c r="AZ39" s="30">
        <v>0</v>
      </c>
      <c r="BB39" s="42">
        <f t="shared" si="0"/>
        <v>314755.826</v>
      </c>
      <c r="BC39" s="29"/>
    </row>
    <row r="40" spans="1:55" ht="5.25" customHeight="1">
      <c r="A40" s="247"/>
      <c r="K40" s="29"/>
      <c r="L40" s="33"/>
      <c r="BC40" s="29"/>
    </row>
    <row r="41" spans="1:55" ht="13.5">
      <c r="A41" s="256" t="s">
        <v>387</v>
      </c>
      <c r="B41" s="29">
        <f>SUM(B35:B40)</f>
        <v>289155.954</v>
      </c>
      <c r="C41" s="29">
        <f aca="true" t="shared" si="6" ref="C41:AZ41">SUM(C35:C40)</f>
        <v>121093</v>
      </c>
      <c r="D41" s="29">
        <f t="shared" si="6"/>
        <v>39615.728</v>
      </c>
      <c r="E41" s="29">
        <f>SUM(E35:E40)</f>
        <v>24054</v>
      </c>
      <c r="F41" s="29">
        <f t="shared" si="6"/>
        <v>96314</v>
      </c>
      <c r="G41" s="29">
        <f t="shared" si="6"/>
        <v>24761</v>
      </c>
      <c r="H41" s="29">
        <f t="shared" si="6"/>
        <v>23536</v>
      </c>
      <c r="I41" s="29">
        <f t="shared" si="6"/>
        <v>5924.4</v>
      </c>
      <c r="J41" s="29">
        <f>SUM(J35:J40)</f>
        <v>69486</v>
      </c>
      <c r="K41" s="29">
        <f>SUM(K35:K40)</f>
        <v>38447</v>
      </c>
      <c r="L41" s="29">
        <f t="shared" si="6"/>
        <v>43263.744999999995</v>
      </c>
      <c r="M41" s="29">
        <f t="shared" si="6"/>
        <v>23788.547</v>
      </c>
      <c r="N41" s="29">
        <f>SUM(N35:N40)</f>
        <v>6567</v>
      </c>
      <c r="O41" s="29">
        <f t="shared" si="6"/>
        <v>18215</v>
      </c>
      <c r="P41" s="29">
        <f>SUM(P35:P40)</f>
        <v>14926.339</v>
      </c>
      <c r="Q41" s="29">
        <f t="shared" si="6"/>
        <v>27566.333</v>
      </c>
      <c r="R41" s="29">
        <f t="shared" si="6"/>
        <v>21057</v>
      </c>
      <c r="S41" s="29">
        <f>SUM(S35:S40)</f>
        <v>19825</v>
      </c>
      <c r="T41" s="29">
        <f t="shared" si="6"/>
        <v>14940.1</v>
      </c>
      <c r="U41" s="29">
        <f t="shared" si="6"/>
        <v>28631</v>
      </c>
      <c r="V41" s="29">
        <f t="shared" si="6"/>
        <v>15022</v>
      </c>
      <c r="W41" s="29">
        <f t="shared" si="6"/>
        <v>5921</v>
      </c>
      <c r="X41" s="29">
        <f t="shared" si="6"/>
        <v>1534.8000000000002</v>
      </c>
      <c r="Y41" s="29">
        <f t="shared" si="6"/>
        <v>1848.313</v>
      </c>
      <c r="Z41" s="29">
        <f>SUM(Z35:Z40)</f>
        <v>20918.332000000002</v>
      </c>
      <c r="AA41" s="29">
        <f t="shared" si="6"/>
        <v>13084.226</v>
      </c>
      <c r="AB41" s="29">
        <f>SUM(AB35:AB40)</f>
        <v>4776</v>
      </c>
      <c r="AC41" s="29">
        <f>SUM(AC35:AC40)</f>
        <v>7251.4</v>
      </c>
      <c r="AD41" s="29">
        <f t="shared" si="6"/>
        <v>12104</v>
      </c>
      <c r="AE41" s="29">
        <f t="shared" si="6"/>
        <v>1170</v>
      </c>
      <c r="AF41" s="29">
        <f t="shared" si="6"/>
        <v>1022</v>
      </c>
      <c r="AG41" s="29">
        <f t="shared" si="6"/>
        <v>6392</v>
      </c>
      <c r="AH41" s="29">
        <f t="shared" si="6"/>
        <v>2021</v>
      </c>
      <c r="AI41" s="29">
        <f t="shared" si="6"/>
        <v>0</v>
      </c>
      <c r="AJ41" s="29">
        <f t="shared" si="6"/>
        <v>995.2</v>
      </c>
      <c r="AK41" s="29">
        <f t="shared" si="6"/>
        <v>0</v>
      </c>
      <c r="AL41" s="29">
        <f>SUM(AL35:AL40)</f>
        <v>1753</v>
      </c>
      <c r="AM41" s="29">
        <f t="shared" si="6"/>
        <v>1509.644</v>
      </c>
      <c r="AN41" s="29">
        <f t="shared" si="6"/>
        <v>723</v>
      </c>
      <c r="AO41" s="29">
        <f t="shared" si="6"/>
        <v>1109</v>
      </c>
      <c r="AP41" s="29">
        <f t="shared" si="6"/>
        <v>701</v>
      </c>
      <c r="AQ41" s="29">
        <f t="shared" si="6"/>
        <v>619</v>
      </c>
      <c r="AR41" s="29">
        <f t="shared" si="6"/>
        <v>105.656</v>
      </c>
      <c r="AS41" s="29">
        <f t="shared" si="6"/>
        <v>737</v>
      </c>
      <c r="AT41" s="29">
        <f t="shared" si="6"/>
        <v>50</v>
      </c>
      <c r="AU41" s="29">
        <f t="shared" si="6"/>
        <v>139</v>
      </c>
      <c r="AV41" s="29">
        <f t="shared" si="6"/>
        <v>0</v>
      </c>
      <c r="AW41" s="29">
        <f t="shared" si="6"/>
        <v>1327</v>
      </c>
      <c r="AX41" s="29">
        <f t="shared" si="6"/>
        <v>1</v>
      </c>
      <c r="AY41" s="29">
        <f t="shared" si="6"/>
        <v>1116.43</v>
      </c>
      <c r="AZ41" s="29">
        <f t="shared" si="6"/>
        <v>231.328</v>
      </c>
      <c r="BB41" s="42">
        <f t="shared" si="0"/>
        <v>1055349.475</v>
      </c>
      <c r="BC41" s="29"/>
    </row>
    <row r="42" spans="1:55" ht="8.25" customHeight="1">
      <c r="A42" s="250"/>
      <c r="L42" s="33"/>
      <c r="BC42" s="29"/>
    </row>
    <row r="43" spans="1:55" ht="12.75">
      <c r="A43" s="246" t="s">
        <v>393</v>
      </c>
      <c r="K43" s="30"/>
      <c r="L43" s="33"/>
      <c r="BC43" s="29"/>
    </row>
    <row r="44" spans="1:55" ht="12.75">
      <c r="A44" s="247" t="s">
        <v>388</v>
      </c>
      <c r="B44" s="30">
        <v>130712.361</v>
      </c>
      <c r="C44" s="30">
        <v>122559</v>
      </c>
      <c r="D44" s="30">
        <v>112830.01299999999</v>
      </c>
      <c r="E44" s="30">
        <v>50260</v>
      </c>
      <c r="F44" s="30">
        <v>43316</v>
      </c>
      <c r="G44" s="30">
        <v>20423</v>
      </c>
      <c r="H44" s="30">
        <v>41984</v>
      </c>
      <c r="I44" s="30">
        <v>28710.4</v>
      </c>
      <c r="J44" s="30">
        <v>40664</v>
      </c>
      <c r="K44" s="30">
        <v>38498</v>
      </c>
      <c r="L44" s="30">
        <v>36853.5</v>
      </c>
      <c r="M44" s="30">
        <v>10205.982</v>
      </c>
      <c r="N44" s="30">
        <v>12785.5</v>
      </c>
      <c r="O44" s="30">
        <v>35366</v>
      </c>
      <c r="P44" s="30">
        <v>28811.647</v>
      </c>
      <c r="Q44" s="30">
        <v>37756.731</v>
      </c>
      <c r="R44" s="30">
        <v>31808</v>
      </c>
      <c r="S44" s="30">
        <v>20842</v>
      </c>
      <c r="T44" s="30">
        <v>20725.4</v>
      </c>
      <c r="U44" s="30">
        <v>12515</v>
      </c>
      <c r="V44" s="30">
        <v>14510</v>
      </c>
      <c r="W44" s="30">
        <v>6655</v>
      </c>
      <c r="X44" s="30">
        <v>6629.4</v>
      </c>
      <c r="Y44" s="30">
        <v>1663.389</v>
      </c>
      <c r="Z44" s="30">
        <v>23817.999</v>
      </c>
      <c r="AA44" s="30">
        <v>15991.832</v>
      </c>
      <c r="AB44" s="30">
        <v>35022</v>
      </c>
      <c r="AC44" s="30">
        <v>0</v>
      </c>
      <c r="AD44" s="30">
        <v>32076</v>
      </c>
      <c r="AE44" s="30">
        <v>1219</v>
      </c>
      <c r="AF44" s="30">
        <v>4389</v>
      </c>
      <c r="AG44" s="30">
        <v>5230</v>
      </c>
      <c r="AH44" s="30">
        <v>919</v>
      </c>
      <c r="AI44" s="30">
        <v>6435.273</v>
      </c>
      <c r="AJ44" s="30">
        <v>3645.064</v>
      </c>
      <c r="AK44" s="30">
        <v>2963</v>
      </c>
      <c r="AL44" s="30">
        <v>2262</v>
      </c>
      <c r="AM44" s="30">
        <v>6038.577</v>
      </c>
      <c r="AN44" s="30">
        <v>515</v>
      </c>
      <c r="AO44" s="30">
        <v>3402</v>
      </c>
      <c r="AP44" s="30">
        <v>64</v>
      </c>
      <c r="AQ44" s="30">
        <v>738</v>
      </c>
      <c r="AR44" s="30">
        <v>390.404</v>
      </c>
      <c r="AS44" s="30">
        <v>1889</v>
      </c>
      <c r="AT44" s="30">
        <v>1050</v>
      </c>
      <c r="AU44" s="30">
        <v>232</v>
      </c>
      <c r="AV44" s="30">
        <v>2562</v>
      </c>
      <c r="AW44" s="30">
        <v>1327</v>
      </c>
      <c r="AX44" s="30">
        <v>553</v>
      </c>
      <c r="AY44" s="30">
        <v>292.09</v>
      </c>
      <c r="AZ44" s="30">
        <v>0</v>
      </c>
      <c r="BB44" s="42">
        <f t="shared" si="0"/>
        <v>1060107.5620000002</v>
      </c>
      <c r="BC44" s="29"/>
    </row>
    <row r="45" spans="1:55" ht="12.75">
      <c r="A45" s="247" t="s">
        <v>394</v>
      </c>
      <c r="B45" s="30">
        <v>8070</v>
      </c>
      <c r="C45" s="30">
        <v>0</v>
      </c>
      <c r="D45" s="30">
        <v>0</v>
      </c>
      <c r="E45" s="30">
        <v>12112</v>
      </c>
      <c r="F45" s="30">
        <v>47508</v>
      </c>
      <c r="G45" s="30">
        <v>31147</v>
      </c>
      <c r="H45" s="30">
        <v>0</v>
      </c>
      <c r="I45" s="30">
        <v>0</v>
      </c>
      <c r="J45" s="30">
        <v>0</v>
      </c>
      <c r="K45" s="42">
        <v>0</v>
      </c>
      <c r="L45" s="30">
        <f>SUM(M45:O45)</f>
        <v>0</v>
      </c>
      <c r="M45" s="30">
        <v>0</v>
      </c>
      <c r="N45" s="30">
        <f>+O45/1000</f>
        <v>0</v>
      </c>
      <c r="O45" s="30">
        <v>0</v>
      </c>
      <c r="P45" s="30">
        <v>0</v>
      </c>
      <c r="Q45" s="30">
        <v>0</v>
      </c>
      <c r="R45" s="30"/>
      <c r="S45" s="30">
        <v>2898</v>
      </c>
      <c r="T45" s="30"/>
      <c r="U45" s="30">
        <v>897</v>
      </c>
      <c r="V45" s="30">
        <v>0</v>
      </c>
      <c r="W45" s="30">
        <v>0</v>
      </c>
      <c r="X45" s="30">
        <v>0</v>
      </c>
      <c r="Y45" s="30">
        <v>0</v>
      </c>
      <c r="Z45" s="30">
        <v>1174.005</v>
      </c>
      <c r="AA45" s="30"/>
      <c r="AB45" s="30">
        <v>0</v>
      </c>
      <c r="AC45" s="30">
        <v>8261</v>
      </c>
      <c r="AD45" s="30">
        <v>0</v>
      </c>
      <c r="AE45" s="30">
        <v>902</v>
      </c>
      <c r="AF45" s="30">
        <v>0</v>
      </c>
      <c r="AG45" s="30"/>
      <c r="AH45" s="30">
        <v>0</v>
      </c>
      <c r="AI45" s="30"/>
      <c r="AJ45" s="30">
        <v>1656.427</v>
      </c>
      <c r="AK45" s="30"/>
      <c r="AL45" s="30">
        <v>1500</v>
      </c>
      <c r="AM45" s="30"/>
      <c r="AN45" s="30">
        <v>1600</v>
      </c>
      <c r="AO45" s="30"/>
      <c r="AP45" s="30">
        <v>585</v>
      </c>
      <c r="AQ45" s="30">
        <v>0</v>
      </c>
      <c r="AR45" s="30">
        <v>1227.124</v>
      </c>
      <c r="AS45" s="30"/>
      <c r="AT45" s="30">
        <v>0</v>
      </c>
      <c r="AU45" s="30"/>
      <c r="AV45" s="30"/>
      <c r="AW45" s="30"/>
      <c r="AX45" s="30">
        <v>1648</v>
      </c>
      <c r="AY45" s="30">
        <v>284.046</v>
      </c>
      <c r="AZ45" s="30">
        <v>0</v>
      </c>
      <c r="BB45" s="42">
        <f t="shared" si="0"/>
        <v>121469.602</v>
      </c>
      <c r="BC45" s="29"/>
    </row>
    <row r="46" spans="1:55" ht="5.25" customHeight="1">
      <c r="A46" s="247"/>
      <c r="K46" s="29"/>
      <c r="L46" s="33"/>
      <c r="AP46" s="29"/>
      <c r="BC46" s="29"/>
    </row>
    <row r="47" spans="1:55" ht="13.5">
      <c r="A47" s="256" t="s">
        <v>395</v>
      </c>
      <c r="B47" s="29">
        <f>SUM(B44:B46)</f>
        <v>138782.361</v>
      </c>
      <c r="C47" s="29">
        <f aca="true" t="shared" si="7" ref="C47:AZ47">SUM(C44:C46)</f>
        <v>122559</v>
      </c>
      <c r="D47" s="29">
        <f t="shared" si="7"/>
        <v>112830.01299999999</v>
      </c>
      <c r="E47" s="29">
        <f>SUM(E44:E46)</f>
        <v>62372</v>
      </c>
      <c r="F47" s="29">
        <f t="shared" si="7"/>
        <v>90824</v>
      </c>
      <c r="G47" s="29">
        <f t="shared" si="7"/>
        <v>51570</v>
      </c>
      <c r="H47" s="29">
        <f t="shared" si="7"/>
        <v>41984</v>
      </c>
      <c r="I47" s="29">
        <f t="shared" si="7"/>
        <v>28710.4</v>
      </c>
      <c r="J47" s="29">
        <f>SUM(J44:J46)</f>
        <v>40664</v>
      </c>
      <c r="K47" s="29">
        <f>SUM(K44:K46)</f>
        <v>38498</v>
      </c>
      <c r="L47" s="29">
        <f t="shared" si="7"/>
        <v>36853.5</v>
      </c>
      <c r="M47" s="29">
        <f t="shared" si="7"/>
        <v>10205.982</v>
      </c>
      <c r="N47" s="29">
        <f>SUM(N44:N46)</f>
        <v>12785.5</v>
      </c>
      <c r="O47" s="29">
        <f t="shared" si="7"/>
        <v>35366</v>
      </c>
      <c r="P47" s="29">
        <f>SUM(P44:P46)</f>
        <v>28811.647</v>
      </c>
      <c r="Q47" s="29">
        <f t="shared" si="7"/>
        <v>37756.731</v>
      </c>
      <c r="R47" s="29">
        <f t="shared" si="7"/>
        <v>31808</v>
      </c>
      <c r="S47" s="29">
        <f>SUM(S44:S46)</f>
        <v>23740</v>
      </c>
      <c r="T47" s="29">
        <f t="shared" si="7"/>
        <v>20725.4</v>
      </c>
      <c r="U47" s="29">
        <f t="shared" si="7"/>
        <v>13412</v>
      </c>
      <c r="V47" s="29">
        <f t="shared" si="7"/>
        <v>14510</v>
      </c>
      <c r="W47" s="29">
        <f t="shared" si="7"/>
        <v>6655</v>
      </c>
      <c r="X47" s="29">
        <f t="shared" si="7"/>
        <v>6629.4</v>
      </c>
      <c r="Y47" s="29">
        <f t="shared" si="7"/>
        <v>1663.389</v>
      </c>
      <c r="Z47" s="29">
        <f>SUM(Z44:Z46)</f>
        <v>24992.004</v>
      </c>
      <c r="AA47" s="29">
        <f t="shared" si="7"/>
        <v>15991.832</v>
      </c>
      <c r="AB47" s="29">
        <f>SUM(AB44:AB46)</f>
        <v>35022</v>
      </c>
      <c r="AC47" s="29">
        <f>SUM(AC44:AC46)</f>
        <v>8261</v>
      </c>
      <c r="AD47" s="29">
        <f t="shared" si="7"/>
        <v>32076</v>
      </c>
      <c r="AE47" s="29">
        <f t="shared" si="7"/>
        <v>2121</v>
      </c>
      <c r="AF47" s="29">
        <f t="shared" si="7"/>
        <v>4389</v>
      </c>
      <c r="AG47" s="29">
        <f t="shared" si="7"/>
        <v>5230</v>
      </c>
      <c r="AH47" s="29">
        <f t="shared" si="7"/>
        <v>919</v>
      </c>
      <c r="AI47" s="29">
        <f t="shared" si="7"/>
        <v>6435.273</v>
      </c>
      <c r="AJ47" s="29">
        <f t="shared" si="7"/>
        <v>5301.491</v>
      </c>
      <c r="AK47" s="29">
        <f t="shared" si="7"/>
        <v>2963</v>
      </c>
      <c r="AL47" s="29">
        <f>SUM(AL44:AL46)</f>
        <v>3762</v>
      </c>
      <c r="AM47" s="29">
        <f t="shared" si="7"/>
        <v>6038.577</v>
      </c>
      <c r="AN47" s="29">
        <f t="shared" si="7"/>
        <v>2115</v>
      </c>
      <c r="AO47" s="29">
        <f t="shared" si="7"/>
        <v>3402</v>
      </c>
      <c r="AP47" s="29">
        <f t="shared" si="7"/>
        <v>649</v>
      </c>
      <c r="AQ47" s="29">
        <f t="shared" si="7"/>
        <v>738</v>
      </c>
      <c r="AR47" s="29">
        <f t="shared" si="7"/>
        <v>1617.528</v>
      </c>
      <c r="AS47" s="29">
        <f t="shared" si="7"/>
        <v>1889</v>
      </c>
      <c r="AT47" s="29">
        <f t="shared" si="7"/>
        <v>1050</v>
      </c>
      <c r="AU47" s="29">
        <f t="shared" si="7"/>
        <v>232</v>
      </c>
      <c r="AV47" s="29">
        <f t="shared" si="7"/>
        <v>2562</v>
      </c>
      <c r="AW47" s="29">
        <f t="shared" si="7"/>
        <v>1327</v>
      </c>
      <c r="AX47" s="29">
        <f t="shared" si="7"/>
        <v>2201</v>
      </c>
      <c r="AY47" s="29">
        <f t="shared" si="7"/>
        <v>576.136</v>
      </c>
      <c r="AZ47" s="29">
        <f t="shared" si="7"/>
        <v>0</v>
      </c>
      <c r="BB47" s="42">
        <f t="shared" si="0"/>
        <v>1181577.1639999999</v>
      </c>
      <c r="BC47" s="29"/>
    </row>
    <row r="48" spans="1:55" ht="8.25" customHeight="1">
      <c r="A48" s="247"/>
      <c r="K48" s="29"/>
      <c r="L48" s="33"/>
      <c r="BC48" s="29"/>
    </row>
    <row r="49" spans="1:55" ht="12.75">
      <c r="A49" s="246" t="s">
        <v>396</v>
      </c>
      <c r="B49" s="29">
        <v>0</v>
      </c>
      <c r="C49" s="29">
        <v>41040</v>
      </c>
      <c r="D49" s="30">
        <v>23193.414</v>
      </c>
      <c r="E49" s="29">
        <v>0</v>
      </c>
      <c r="F49" s="29">
        <v>5870</v>
      </c>
      <c r="G49" s="29">
        <v>0</v>
      </c>
      <c r="H49" s="29">
        <v>0</v>
      </c>
      <c r="I49" s="29">
        <v>0</v>
      </c>
      <c r="J49" s="29">
        <v>0</v>
      </c>
      <c r="K49" s="42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2106.704</v>
      </c>
      <c r="R49" s="29">
        <v>4807</v>
      </c>
      <c r="S49" s="29">
        <v>0</v>
      </c>
      <c r="T49" s="29">
        <v>0</v>
      </c>
      <c r="U49" s="29">
        <v>0</v>
      </c>
      <c r="V49" s="29">
        <v>302.3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728.1</v>
      </c>
      <c r="AD49" s="29">
        <v>0</v>
      </c>
      <c r="AE49" s="29">
        <v>0</v>
      </c>
      <c r="AF49" s="29">
        <v>0</v>
      </c>
      <c r="AG49" s="29">
        <v>1075.2</v>
      </c>
      <c r="AH49" s="29">
        <v>0</v>
      </c>
      <c r="AI49" s="29">
        <v>0</v>
      </c>
      <c r="AJ49" s="29">
        <v>6296.691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B49" s="42">
        <f t="shared" si="0"/>
        <v>85419.40900000001</v>
      </c>
      <c r="BC49" s="29"/>
    </row>
    <row r="50" spans="1:55" ht="8.25" customHeight="1">
      <c r="A50" s="247"/>
      <c r="K50" s="29"/>
      <c r="L50" s="33"/>
      <c r="BC50" s="29"/>
    </row>
    <row r="51" spans="1:55" ht="12.75">
      <c r="A51" s="246" t="s">
        <v>397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42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B51" s="42">
        <f t="shared" si="0"/>
        <v>0</v>
      </c>
      <c r="BC51" s="29"/>
    </row>
    <row r="52" spans="1:55" ht="8.25" customHeight="1">
      <c r="A52" s="251"/>
      <c r="L52" s="33"/>
      <c r="BC52" s="29"/>
    </row>
    <row r="53" spans="1:55" ht="12.75">
      <c r="A53" s="246" t="s">
        <v>398</v>
      </c>
      <c r="K53" s="29"/>
      <c r="L53" s="33"/>
      <c r="BB53" s="42">
        <f t="shared" si="0"/>
        <v>0</v>
      </c>
      <c r="BC53" s="29"/>
    </row>
    <row r="54" spans="1:55" ht="12.75">
      <c r="A54" s="246" t="s">
        <v>399</v>
      </c>
      <c r="B54" s="29">
        <f aca="true" t="shared" si="8" ref="B54:AG54">+B11-B19+B32-B41-B47+B49-B51</f>
        <v>15345411.242999999</v>
      </c>
      <c r="C54" s="29">
        <f t="shared" si="8"/>
        <v>4445705</v>
      </c>
      <c r="D54" s="29">
        <f t="shared" si="8"/>
        <v>1536208.0550000002</v>
      </c>
      <c r="E54" s="29">
        <f t="shared" si="8"/>
        <v>2195096</v>
      </c>
      <c r="F54" s="29">
        <f t="shared" si="8"/>
        <v>-2586769.85</v>
      </c>
      <c r="G54" s="29">
        <f t="shared" si="8"/>
        <v>651400</v>
      </c>
      <c r="H54" s="29">
        <f t="shared" si="8"/>
        <v>1678073</v>
      </c>
      <c r="I54" s="29">
        <f t="shared" si="8"/>
        <v>502443.19999999995</v>
      </c>
      <c r="J54" s="29">
        <f t="shared" si="8"/>
        <v>1247722</v>
      </c>
      <c r="K54" s="29">
        <f t="shared" si="8"/>
        <v>859969</v>
      </c>
      <c r="L54" s="29">
        <f t="shared" si="8"/>
        <v>563813.2210000001</v>
      </c>
      <c r="M54" s="29">
        <f t="shared" si="8"/>
        <v>-796206.4699999999</v>
      </c>
      <c r="N54" s="29">
        <f t="shared" si="8"/>
        <v>178301.5</v>
      </c>
      <c r="O54" s="29">
        <f t="shared" si="8"/>
        <v>-245809</v>
      </c>
      <c r="P54" s="29">
        <f t="shared" si="8"/>
        <v>1502616.1480000003</v>
      </c>
      <c r="Q54" s="29">
        <f t="shared" si="8"/>
        <v>30243.012000000326</v>
      </c>
      <c r="R54" s="29">
        <f t="shared" si="8"/>
        <v>75266</v>
      </c>
      <c r="S54" s="29">
        <f t="shared" si="8"/>
        <v>-572312</v>
      </c>
      <c r="T54" s="29">
        <f t="shared" si="8"/>
        <v>430035.59999999986</v>
      </c>
      <c r="U54" s="29">
        <f t="shared" si="8"/>
        <v>965858</v>
      </c>
      <c r="V54" s="29">
        <f t="shared" si="8"/>
        <v>359987.3</v>
      </c>
      <c r="W54" s="29">
        <f t="shared" si="8"/>
        <v>-6473</v>
      </c>
      <c r="X54" s="29">
        <f t="shared" si="8"/>
        <v>189647.09999999995</v>
      </c>
      <c r="Y54" s="29">
        <f t="shared" si="8"/>
        <v>356670.853</v>
      </c>
      <c r="Z54" s="29">
        <f t="shared" si="8"/>
        <v>1030448.986</v>
      </c>
      <c r="AA54" s="29">
        <f t="shared" si="8"/>
        <v>-38790.98100000004</v>
      </c>
      <c r="AB54" s="29">
        <f t="shared" si="8"/>
        <v>1739330</v>
      </c>
      <c r="AC54" s="29">
        <f t="shared" si="8"/>
        <v>2014886.5</v>
      </c>
      <c r="AD54" s="29">
        <f t="shared" si="8"/>
        <v>357774</v>
      </c>
      <c r="AE54" s="29">
        <f t="shared" si="8"/>
        <v>142837</v>
      </c>
      <c r="AF54" s="29">
        <f t="shared" si="8"/>
        <v>64162</v>
      </c>
      <c r="AG54" s="29">
        <f t="shared" si="8"/>
        <v>178478.4</v>
      </c>
      <c r="AH54" s="29">
        <f aca="true" t="shared" si="9" ref="AH54:AZ54">+AH11-AH19+AH32-AH41-AH47+AH49-AH51</f>
        <v>4142</v>
      </c>
      <c r="AI54" s="29">
        <f t="shared" si="9"/>
        <v>-87054.84499999999</v>
      </c>
      <c r="AJ54" s="29">
        <f t="shared" si="9"/>
        <v>-79233.24799999999</v>
      </c>
      <c r="AK54" s="29">
        <f t="shared" si="9"/>
        <v>-67026</v>
      </c>
      <c r="AL54" s="29">
        <f t="shared" si="9"/>
        <v>127412</v>
      </c>
      <c r="AM54" s="29">
        <f t="shared" si="9"/>
        <v>19193.494</v>
      </c>
      <c r="AN54" s="29">
        <f t="shared" si="9"/>
        <v>-8265</v>
      </c>
      <c r="AO54" s="29">
        <f t="shared" si="9"/>
        <v>-29061</v>
      </c>
      <c r="AP54" s="29">
        <f t="shared" si="9"/>
        <v>-48470</v>
      </c>
      <c r="AQ54" s="29">
        <f t="shared" si="9"/>
        <v>11556</v>
      </c>
      <c r="AR54" s="29">
        <f t="shared" si="9"/>
        <v>-15417.619999999999</v>
      </c>
      <c r="AS54" s="29">
        <f t="shared" si="9"/>
        <v>-8878</v>
      </c>
      <c r="AT54" s="29">
        <f t="shared" si="9"/>
        <v>3205</v>
      </c>
      <c r="AU54" s="29">
        <f t="shared" si="9"/>
        <v>569</v>
      </c>
      <c r="AV54" s="29">
        <f t="shared" si="9"/>
        <v>19838</v>
      </c>
      <c r="AW54" s="29">
        <f t="shared" si="9"/>
        <v>5489</v>
      </c>
      <c r="AX54" s="29">
        <f t="shared" si="9"/>
        <v>406</v>
      </c>
      <c r="AY54" s="29">
        <f t="shared" si="9"/>
        <v>-21876.423000000006</v>
      </c>
      <c r="AZ54" s="29">
        <f t="shared" si="9"/>
        <v>-283.80399999999986</v>
      </c>
      <c r="BB54" s="42">
        <f t="shared" si="0"/>
        <v>34222266.371000014</v>
      </c>
      <c r="BC54" s="29"/>
    </row>
    <row r="55" spans="1:55" ht="8.25" customHeight="1">
      <c r="A55" s="251"/>
      <c r="K55" s="29"/>
      <c r="L55" s="33"/>
      <c r="BC55" s="29"/>
    </row>
    <row r="56" spans="1:55" ht="12.75">
      <c r="A56" s="246" t="s">
        <v>400</v>
      </c>
      <c r="B56" s="29">
        <f>+B57-B58</f>
        <v>0</v>
      </c>
      <c r="C56" s="29">
        <f aca="true" t="shared" si="10" ref="C56:AZ56">+C57-C58</f>
        <v>0</v>
      </c>
      <c r="D56" s="29">
        <f t="shared" si="10"/>
        <v>0</v>
      </c>
      <c r="E56" s="29">
        <f>+E57-E58</f>
        <v>0</v>
      </c>
      <c r="F56" s="29">
        <f t="shared" si="10"/>
        <v>-22480</v>
      </c>
      <c r="G56" s="29">
        <f t="shared" si="10"/>
        <v>0</v>
      </c>
      <c r="H56" s="29">
        <f t="shared" si="10"/>
        <v>0</v>
      </c>
      <c r="I56" s="29">
        <f t="shared" si="10"/>
        <v>0</v>
      </c>
      <c r="J56" s="29">
        <f>+J57-J58</f>
        <v>0</v>
      </c>
      <c r="K56" s="29">
        <v>0</v>
      </c>
      <c r="L56" s="29">
        <f t="shared" si="10"/>
        <v>0</v>
      </c>
      <c r="M56" s="29">
        <f t="shared" si="10"/>
        <v>0</v>
      </c>
      <c r="N56" s="29">
        <f>+N57-N58</f>
        <v>0</v>
      </c>
      <c r="O56" s="29">
        <f t="shared" si="10"/>
        <v>0</v>
      </c>
      <c r="P56" s="29">
        <v>0</v>
      </c>
      <c r="Q56" s="29">
        <f t="shared" si="10"/>
        <v>0</v>
      </c>
      <c r="R56" s="29">
        <f t="shared" si="10"/>
        <v>0</v>
      </c>
      <c r="S56" s="29">
        <f>+S57-S58</f>
        <v>0</v>
      </c>
      <c r="T56" s="29">
        <f t="shared" si="10"/>
        <v>0</v>
      </c>
      <c r="U56" s="29">
        <f t="shared" si="10"/>
        <v>0</v>
      </c>
      <c r="V56" s="29">
        <f t="shared" si="10"/>
        <v>0</v>
      </c>
      <c r="W56" s="29">
        <f t="shared" si="10"/>
        <v>0</v>
      </c>
      <c r="X56" s="29">
        <f t="shared" si="10"/>
        <v>0</v>
      </c>
      <c r="Y56" s="29">
        <f t="shared" si="10"/>
        <v>0</v>
      </c>
      <c r="Z56" s="29">
        <f>+Z57-Z58</f>
        <v>0</v>
      </c>
      <c r="AA56" s="29">
        <f t="shared" si="10"/>
        <v>0</v>
      </c>
      <c r="AB56" s="29">
        <f>+AB57-AB58</f>
        <v>0</v>
      </c>
      <c r="AC56" s="29">
        <f>+AC57-AC58</f>
        <v>0</v>
      </c>
      <c r="AD56" s="29">
        <f t="shared" si="10"/>
        <v>0</v>
      </c>
      <c r="AE56" s="29">
        <f t="shared" si="10"/>
        <v>0</v>
      </c>
      <c r="AF56" s="29">
        <f t="shared" si="10"/>
        <v>0</v>
      </c>
      <c r="AG56" s="29">
        <f t="shared" si="10"/>
        <v>0</v>
      </c>
      <c r="AH56" s="29">
        <f t="shared" si="10"/>
        <v>0</v>
      </c>
      <c r="AI56" s="29">
        <f t="shared" si="10"/>
        <v>0</v>
      </c>
      <c r="AJ56" s="29">
        <f t="shared" si="10"/>
        <v>0</v>
      </c>
      <c r="AK56" s="29">
        <f t="shared" si="10"/>
        <v>0</v>
      </c>
      <c r="AL56" s="29">
        <f>+AL57-AL58</f>
        <v>0</v>
      </c>
      <c r="AM56" s="29">
        <f t="shared" si="10"/>
        <v>0</v>
      </c>
      <c r="AN56" s="29">
        <f t="shared" si="10"/>
        <v>0</v>
      </c>
      <c r="AO56" s="29">
        <f t="shared" si="10"/>
        <v>0</v>
      </c>
      <c r="AP56" s="29">
        <f t="shared" si="10"/>
        <v>0</v>
      </c>
      <c r="AQ56" s="29">
        <f t="shared" si="10"/>
        <v>0</v>
      </c>
      <c r="AR56" s="29">
        <f t="shared" si="10"/>
        <v>0</v>
      </c>
      <c r="AS56" s="29">
        <f t="shared" si="10"/>
        <v>0</v>
      </c>
      <c r="AT56" s="29">
        <f t="shared" si="10"/>
        <v>6359</v>
      </c>
      <c r="AU56" s="29">
        <f t="shared" si="10"/>
        <v>0</v>
      </c>
      <c r="AV56" s="29">
        <f t="shared" si="10"/>
        <v>0</v>
      </c>
      <c r="AW56" s="29">
        <f t="shared" si="10"/>
        <v>0</v>
      </c>
      <c r="AX56" s="29">
        <f t="shared" si="10"/>
        <v>0</v>
      </c>
      <c r="AY56" s="29">
        <f t="shared" si="10"/>
        <v>0</v>
      </c>
      <c r="AZ56" s="29">
        <f t="shared" si="10"/>
        <v>0</v>
      </c>
      <c r="BB56" s="42">
        <f t="shared" si="0"/>
        <v>-16121</v>
      </c>
      <c r="BC56" s="29"/>
    </row>
    <row r="57" spans="1:55" ht="12.75">
      <c r="A57" s="247" t="s">
        <v>401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f>+H58-H59</f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f>+U58-U59</f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f>+AI58-AI59</f>
        <v>0</v>
      </c>
      <c r="AJ57" s="29">
        <f>+AJ58-AJ59</f>
        <v>0</v>
      </c>
      <c r="AK57" s="29">
        <v>0</v>
      </c>
      <c r="AL57" s="29">
        <v>0</v>
      </c>
      <c r="AM57" s="29">
        <f>+AM58-AM59</f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6359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B57" s="42">
        <f t="shared" si="0"/>
        <v>6359</v>
      </c>
      <c r="BC57" s="29"/>
    </row>
    <row r="58" spans="1:54" ht="12.75">
      <c r="A58" s="247" t="s">
        <v>402</v>
      </c>
      <c r="B58" s="29">
        <v>0</v>
      </c>
      <c r="C58" s="29">
        <v>0</v>
      </c>
      <c r="D58" s="29">
        <v>0</v>
      </c>
      <c r="E58" s="29">
        <v>0</v>
      </c>
      <c r="F58" s="29">
        <v>22480</v>
      </c>
      <c r="G58" s="29">
        <v>0</v>
      </c>
      <c r="H58" s="29">
        <f>+H59-H60</f>
        <v>0</v>
      </c>
      <c r="I58" s="29">
        <v>0</v>
      </c>
      <c r="J58" s="29">
        <v>0</v>
      </c>
      <c r="K58" s="42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f>+U59-U60</f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f>+AI59-AI60</f>
        <v>0</v>
      </c>
      <c r="AJ58" s="29">
        <f>+AJ59-AJ60</f>
        <v>0</v>
      </c>
      <c r="AK58" s="29">
        <v>0</v>
      </c>
      <c r="AL58" s="29">
        <v>0</v>
      </c>
      <c r="AM58" s="29">
        <f>+AM59-AM60</f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B58" s="42">
        <f t="shared" si="0"/>
        <v>22480</v>
      </c>
    </row>
    <row r="59" spans="1:55" ht="8.25" customHeight="1">
      <c r="A59" s="247"/>
      <c r="K59" s="29"/>
      <c r="L59" s="33"/>
      <c r="BC59" s="29"/>
    </row>
    <row r="60" spans="1:55" ht="12.75">
      <c r="A60" s="246" t="s">
        <v>403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42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-1378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B60" s="42">
        <f t="shared" si="0"/>
        <v>-1378</v>
      </c>
      <c r="BC60" s="29"/>
    </row>
    <row r="61" spans="1:55" ht="8.25" customHeight="1">
      <c r="A61" s="247"/>
      <c r="K61" s="29"/>
      <c r="L61" s="33"/>
      <c r="BC61" s="103"/>
    </row>
    <row r="62" spans="1:55" ht="12.75">
      <c r="A62" s="246" t="s">
        <v>404</v>
      </c>
      <c r="B62" s="29">
        <f>+B54+B56+B60</f>
        <v>15345411.242999999</v>
      </c>
      <c r="C62" s="29">
        <f>+C54+C56+C60</f>
        <v>4445705</v>
      </c>
      <c r="D62" s="29">
        <f aca="true" t="shared" si="11" ref="D62:AZ62">+D54+D56+D60</f>
        <v>1536208.0550000002</v>
      </c>
      <c r="E62" s="29">
        <f>+E54+E56+E60</f>
        <v>2195096</v>
      </c>
      <c r="F62" s="29">
        <f t="shared" si="11"/>
        <v>-2609249.85</v>
      </c>
      <c r="G62" s="29">
        <f t="shared" si="11"/>
        <v>651400</v>
      </c>
      <c r="H62" s="29">
        <f t="shared" si="11"/>
        <v>1678073</v>
      </c>
      <c r="I62" s="29">
        <f t="shared" si="11"/>
        <v>502443.19999999995</v>
      </c>
      <c r="J62" s="29">
        <f>+J54+J56+J60</f>
        <v>1247722</v>
      </c>
      <c r="K62" s="29">
        <f>+K54+K56+K60</f>
        <v>859969</v>
      </c>
      <c r="L62" s="29">
        <f t="shared" si="11"/>
        <v>563813.2210000001</v>
      </c>
      <c r="M62" s="29">
        <f t="shared" si="11"/>
        <v>-796206.4699999999</v>
      </c>
      <c r="N62" s="29">
        <f>+N54+N56+N60</f>
        <v>178301.5</v>
      </c>
      <c r="O62" s="29">
        <f t="shared" si="11"/>
        <v>-245809</v>
      </c>
      <c r="P62" s="29">
        <f>+P54+P56+P60</f>
        <v>1502616.1480000003</v>
      </c>
      <c r="Q62" s="29">
        <f t="shared" si="11"/>
        <v>30243.012000000326</v>
      </c>
      <c r="R62" s="29">
        <f t="shared" si="11"/>
        <v>75266</v>
      </c>
      <c r="S62" s="29">
        <f>+S54+S56+S60</f>
        <v>-572312</v>
      </c>
      <c r="T62" s="29">
        <f t="shared" si="11"/>
        <v>430035.59999999986</v>
      </c>
      <c r="U62" s="29">
        <f t="shared" si="11"/>
        <v>965858</v>
      </c>
      <c r="V62" s="29">
        <f t="shared" si="11"/>
        <v>358609.3</v>
      </c>
      <c r="W62" s="29">
        <f t="shared" si="11"/>
        <v>-6473</v>
      </c>
      <c r="X62" s="29">
        <f t="shared" si="11"/>
        <v>189647.09999999995</v>
      </c>
      <c r="Y62" s="29">
        <f>+Y54+Y56+Y60</f>
        <v>356670.853</v>
      </c>
      <c r="Z62" s="29">
        <f>+Z54+Z56+Z60</f>
        <v>1030448.986</v>
      </c>
      <c r="AA62" s="29">
        <f t="shared" si="11"/>
        <v>-38790.98100000004</v>
      </c>
      <c r="AB62" s="29">
        <f>+AB54+AB56+AB60</f>
        <v>1739330</v>
      </c>
      <c r="AC62" s="29">
        <f>+AC54+AC56+AC60</f>
        <v>2014886.5</v>
      </c>
      <c r="AD62" s="29">
        <f t="shared" si="11"/>
        <v>357774</v>
      </c>
      <c r="AE62" s="29">
        <f t="shared" si="11"/>
        <v>142837</v>
      </c>
      <c r="AF62" s="29">
        <f t="shared" si="11"/>
        <v>64162</v>
      </c>
      <c r="AG62" s="29">
        <f t="shared" si="11"/>
        <v>178478.4</v>
      </c>
      <c r="AH62" s="29">
        <f t="shared" si="11"/>
        <v>4142</v>
      </c>
      <c r="AI62" s="29">
        <f t="shared" si="11"/>
        <v>-87054.84499999999</v>
      </c>
      <c r="AJ62" s="29">
        <f t="shared" si="11"/>
        <v>-79233.24799999999</v>
      </c>
      <c r="AK62" s="29">
        <f t="shared" si="11"/>
        <v>-67026</v>
      </c>
      <c r="AL62" s="29">
        <f>+AL54+AL56+AL60</f>
        <v>127412</v>
      </c>
      <c r="AM62" s="29">
        <f t="shared" si="11"/>
        <v>19193.494</v>
      </c>
      <c r="AN62" s="29">
        <f t="shared" si="11"/>
        <v>-8265</v>
      </c>
      <c r="AO62" s="29">
        <f t="shared" si="11"/>
        <v>-29061</v>
      </c>
      <c r="AP62" s="29">
        <f t="shared" si="11"/>
        <v>-48470</v>
      </c>
      <c r="AQ62" s="29">
        <f t="shared" si="11"/>
        <v>11556</v>
      </c>
      <c r="AR62" s="29">
        <f t="shared" si="11"/>
        <v>-15417.619999999999</v>
      </c>
      <c r="AS62" s="29">
        <f t="shared" si="11"/>
        <v>-8878</v>
      </c>
      <c r="AT62" s="29">
        <f t="shared" si="11"/>
        <v>9564</v>
      </c>
      <c r="AU62" s="29">
        <f t="shared" si="11"/>
        <v>569</v>
      </c>
      <c r="AV62" s="29">
        <f t="shared" si="11"/>
        <v>19838</v>
      </c>
      <c r="AW62" s="29">
        <f t="shared" si="11"/>
        <v>5489</v>
      </c>
      <c r="AX62" s="29">
        <f t="shared" si="11"/>
        <v>406</v>
      </c>
      <c r="AY62" s="29">
        <f t="shared" si="11"/>
        <v>-21876.423000000006</v>
      </c>
      <c r="AZ62" s="29">
        <f t="shared" si="11"/>
        <v>-283.80399999999986</v>
      </c>
      <c r="BA62" s="29"/>
      <c r="BB62" s="42">
        <f t="shared" si="0"/>
        <v>34204767.371000014</v>
      </c>
      <c r="BC62" s="29"/>
    </row>
    <row r="63" spans="1:55" ht="12.75">
      <c r="A63" s="246"/>
      <c r="K63" s="29"/>
      <c r="L63" s="33"/>
      <c r="BC63" s="29"/>
    </row>
    <row r="64" spans="1:55" ht="12.75">
      <c r="A64" s="246" t="s">
        <v>405</v>
      </c>
      <c r="B64" s="29">
        <v>100780542</v>
      </c>
      <c r="C64" s="29">
        <v>97511693</v>
      </c>
      <c r="D64" s="30">
        <v>52137157.383</v>
      </c>
      <c r="E64" s="29">
        <v>44867509</v>
      </c>
      <c r="F64" s="29">
        <v>48649187</v>
      </c>
      <c r="G64" s="29">
        <v>27726911</v>
      </c>
      <c r="H64" s="29">
        <v>22261551</v>
      </c>
      <c r="I64" s="29">
        <v>19286619</v>
      </c>
      <c r="J64" s="29">
        <v>18432762</v>
      </c>
      <c r="K64" s="42">
        <v>18120932</v>
      </c>
      <c r="L64" s="29">
        <v>17088087.4</v>
      </c>
      <c r="M64" s="29">
        <v>14038668.885</v>
      </c>
      <c r="N64" s="29">
        <v>12831499</v>
      </c>
      <c r="O64" s="29">
        <v>13152576</v>
      </c>
      <c r="P64" s="29">
        <v>11212719.156</v>
      </c>
      <c r="Q64" s="29">
        <v>11981662.12</v>
      </c>
      <c r="R64" s="29">
        <v>11695370</v>
      </c>
      <c r="S64" s="29">
        <v>11960276</v>
      </c>
      <c r="T64" s="29">
        <v>10926915.8</v>
      </c>
      <c r="U64" s="29">
        <v>9530090</v>
      </c>
      <c r="V64" s="29">
        <v>7902536</v>
      </c>
      <c r="W64" s="29">
        <v>7831465</v>
      </c>
      <c r="X64" s="29">
        <v>6579362</v>
      </c>
      <c r="Y64" s="29">
        <v>6355545.065</v>
      </c>
      <c r="Z64" s="29">
        <v>4898003.058</v>
      </c>
      <c r="AA64" s="29">
        <v>5499806.578</v>
      </c>
      <c r="AB64" s="29">
        <v>3090887</v>
      </c>
      <c r="AC64" s="29">
        <v>1732328.4</v>
      </c>
      <c r="AD64" s="29">
        <v>3192141</v>
      </c>
      <c r="AE64" s="29">
        <v>2568739</v>
      </c>
      <c r="AF64" s="29">
        <v>2562079</v>
      </c>
      <c r="AG64" s="29">
        <v>2207445.45</v>
      </c>
      <c r="AH64" s="29">
        <v>2104651</v>
      </c>
      <c r="AI64" s="29">
        <v>2090302.009</v>
      </c>
      <c r="AJ64" s="29">
        <v>1487252.044</v>
      </c>
      <c r="AK64" s="29">
        <v>1412447</v>
      </c>
      <c r="AL64" s="29">
        <v>1192208</v>
      </c>
      <c r="AM64" s="29">
        <v>1288925.877</v>
      </c>
      <c r="AN64" s="29">
        <v>1258802</v>
      </c>
      <c r="AO64" s="29">
        <v>1131916</v>
      </c>
      <c r="AP64" s="29">
        <v>844076</v>
      </c>
      <c r="AQ64" s="29">
        <v>618860</v>
      </c>
      <c r="AR64" s="29">
        <v>595435.258</v>
      </c>
      <c r="AS64" s="29">
        <v>502421</v>
      </c>
      <c r="AT64" s="29">
        <v>460435</v>
      </c>
      <c r="AU64" s="29">
        <v>445780</v>
      </c>
      <c r="AV64" s="29">
        <v>323835</v>
      </c>
      <c r="AW64" s="29">
        <v>180927</v>
      </c>
      <c r="AX64" s="29">
        <v>103756</v>
      </c>
      <c r="AY64" s="29">
        <v>61714.717</v>
      </c>
      <c r="AZ64" s="29">
        <v>9144.653</v>
      </c>
      <c r="BB64" s="42">
        <f t="shared" si="0"/>
        <v>644725953.8529999</v>
      </c>
      <c r="BC64" s="29"/>
    </row>
    <row r="65" spans="1:12" ht="4.5" customHeight="1">
      <c r="A65" s="251"/>
      <c r="L65" s="33"/>
    </row>
    <row r="66" spans="1:12" ht="12.75">
      <c r="A66" s="246" t="s">
        <v>406</v>
      </c>
      <c r="K66" s="29"/>
      <c r="L66" s="33"/>
    </row>
    <row r="67" spans="1:55" ht="12.75">
      <c r="A67" s="246" t="s">
        <v>407</v>
      </c>
      <c r="B67" s="29">
        <f>+B64+B62</f>
        <v>116125953.243</v>
      </c>
      <c r="C67" s="29">
        <f aca="true" t="shared" si="12" ref="C67:AZ67">+C64+C62</f>
        <v>101957398</v>
      </c>
      <c r="D67" s="29">
        <f t="shared" si="12"/>
        <v>53673365.438</v>
      </c>
      <c r="E67" s="29">
        <f>+E64+E62</f>
        <v>47062605</v>
      </c>
      <c r="F67" s="29">
        <f t="shared" si="12"/>
        <v>46039937.15</v>
      </c>
      <c r="G67" s="29">
        <f t="shared" si="12"/>
        <v>28378311</v>
      </c>
      <c r="H67" s="29">
        <f t="shared" si="12"/>
        <v>23939624</v>
      </c>
      <c r="I67" s="29">
        <f t="shared" si="12"/>
        <v>19789062.2</v>
      </c>
      <c r="J67" s="29">
        <f>+J64+J62</f>
        <v>19680484</v>
      </c>
      <c r="K67" s="29">
        <f>+K64+K62</f>
        <v>18980901</v>
      </c>
      <c r="L67" s="29">
        <f t="shared" si="12"/>
        <v>17651900.621</v>
      </c>
      <c r="M67" s="29">
        <f t="shared" si="12"/>
        <v>13242462.415</v>
      </c>
      <c r="N67" s="29">
        <f>+N64+N62</f>
        <v>13009800.5</v>
      </c>
      <c r="O67" s="29">
        <f t="shared" si="12"/>
        <v>12906767</v>
      </c>
      <c r="P67" s="29">
        <f>+P64+P62</f>
        <v>12715335.304</v>
      </c>
      <c r="Q67" s="29">
        <f t="shared" si="12"/>
        <v>12011905.132</v>
      </c>
      <c r="R67" s="29">
        <f t="shared" si="12"/>
        <v>11770636</v>
      </c>
      <c r="S67" s="29">
        <f>+S64+S62</f>
        <v>11387964</v>
      </c>
      <c r="T67" s="29">
        <f t="shared" si="12"/>
        <v>11356951.4</v>
      </c>
      <c r="U67" s="29">
        <f t="shared" si="12"/>
        <v>10495948</v>
      </c>
      <c r="V67" s="29">
        <f t="shared" si="12"/>
        <v>8261145.3</v>
      </c>
      <c r="W67" s="29">
        <f t="shared" si="12"/>
        <v>7824992</v>
      </c>
      <c r="X67" s="29">
        <f t="shared" si="12"/>
        <v>6769009.1</v>
      </c>
      <c r="Y67" s="29">
        <f t="shared" si="12"/>
        <v>6712215.9180000005</v>
      </c>
      <c r="Z67" s="29">
        <f>+Z64+Z62</f>
        <v>5928452.044</v>
      </c>
      <c r="AA67" s="29">
        <f t="shared" si="12"/>
        <v>5461015.597</v>
      </c>
      <c r="AB67" s="29">
        <f>+AB64+AB62</f>
        <v>4830217</v>
      </c>
      <c r="AC67" s="29">
        <f>+AC64+AC62</f>
        <v>3747214.9</v>
      </c>
      <c r="AD67" s="29">
        <f t="shared" si="12"/>
        <v>3549915</v>
      </c>
      <c r="AE67" s="29">
        <f t="shared" si="12"/>
        <v>2711576</v>
      </c>
      <c r="AF67" s="29">
        <f t="shared" si="12"/>
        <v>2626241</v>
      </c>
      <c r="AG67" s="29">
        <f t="shared" si="12"/>
        <v>2385923.85</v>
      </c>
      <c r="AH67" s="29">
        <f t="shared" si="12"/>
        <v>2108793</v>
      </c>
      <c r="AI67" s="29">
        <f t="shared" si="12"/>
        <v>2003247.164</v>
      </c>
      <c r="AJ67" s="29">
        <f t="shared" si="12"/>
        <v>1408018.796</v>
      </c>
      <c r="AK67" s="29">
        <f t="shared" si="12"/>
        <v>1345421</v>
      </c>
      <c r="AL67" s="29">
        <f>+AL64+AL62</f>
        <v>1319620</v>
      </c>
      <c r="AM67" s="29">
        <f t="shared" si="12"/>
        <v>1308119.371</v>
      </c>
      <c r="AN67" s="29">
        <f t="shared" si="12"/>
        <v>1250537</v>
      </c>
      <c r="AO67" s="29">
        <f t="shared" si="12"/>
        <v>1102855</v>
      </c>
      <c r="AP67" s="29">
        <f t="shared" si="12"/>
        <v>795606</v>
      </c>
      <c r="AQ67" s="29">
        <f t="shared" si="12"/>
        <v>630416</v>
      </c>
      <c r="AR67" s="29">
        <f t="shared" si="12"/>
        <v>580017.638</v>
      </c>
      <c r="AS67" s="29">
        <f t="shared" si="12"/>
        <v>493543</v>
      </c>
      <c r="AT67" s="29">
        <f t="shared" si="12"/>
        <v>469999</v>
      </c>
      <c r="AU67" s="29">
        <f t="shared" si="12"/>
        <v>446349</v>
      </c>
      <c r="AV67" s="29">
        <f t="shared" si="12"/>
        <v>343673</v>
      </c>
      <c r="AW67" s="29">
        <f t="shared" si="12"/>
        <v>186416</v>
      </c>
      <c r="AX67" s="29">
        <f t="shared" si="12"/>
        <v>104162</v>
      </c>
      <c r="AY67" s="29">
        <f t="shared" si="12"/>
        <v>39838.293999999994</v>
      </c>
      <c r="AZ67" s="29">
        <f t="shared" si="12"/>
        <v>8860.849</v>
      </c>
      <c r="BA67" s="29"/>
      <c r="BB67" s="42">
        <f t="shared" si="0"/>
        <v>678930721.224</v>
      </c>
      <c r="BC67" s="29"/>
    </row>
    <row r="69" spans="2:53" ht="12.7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</row>
    <row r="70" spans="1:52" ht="12.75">
      <c r="A70" s="255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ht="12.75">
      <c r="P71" s="29"/>
    </row>
  </sheetData>
  <printOptions/>
  <pageMargins left="0.4724409448818898" right="0.2362204724409449" top="0.7874015748031497" bottom="0" header="0.2362204724409449" footer="0.11811023622047245"/>
  <pageSetup firstPageNumber="10" useFirstPageNumber="1" horizontalDpi="600" verticalDpi="600" orientation="portrait" paperSize="9" scale="96" r:id="rId3"/>
  <headerFooter alignWithMargins="0">
    <oddHeader>&amp;C&amp;"Times New Roman,Bold"&amp;14 3.1. STATEMENT OF CHANGES IN NET ASSETS FOR PENSION PAYMENT 2002</oddHeader>
    <oddFooter>&amp;R&amp;"Times New Roman,Regular"&amp;P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65"/>
  <sheetViews>
    <sheetView workbookViewId="0" topLeftCell="A1">
      <pane xSplit="1" ySplit="5" topLeftCell="AY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D6" sqref="BD6"/>
    </sheetView>
  </sheetViews>
  <sheetFormatPr defaultColWidth="9.140625" defaultRowHeight="12.75"/>
  <cols>
    <col min="1" max="1" width="35.28125" style="33" customWidth="1"/>
    <col min="2" max="2" width="9.8515625" style="42" customWidth="1"/>
    <col min="3" max="3" width="10.00390625" style="42" customWidth="1"/>
    <col min="4" max="7" width="9.421875" style="42" customWidth="1"/>
    <col min="8" max="8" width="9.8515625" style="42" customWidth="1"/>
    <col min="9" max="15" width="9.421875" style="42" customWidth="1"/>
    <col min="16" max="22" width="9.57421875" style="42" customWidth="1"/>
    <col min="23" max="23" width="9.421875" style="42" customWidth="1"/>
    <col min="24" max="24" width="10.7109375" style="42" customWidth="1"/>
    <col min="25" max="30" width="9.421875" style="42" customWidth="1"/>
    <col min="31" max="31" width="11.00390625" style="42" customWidth="1"/>
    <col min="32" max="33" width="9.421875" style="42" customWidth="1"/>
    <col min="34" max="34" width="10.140625" style="42" customWidth="1"/>
    <col min="35" max="36" width="9.421875" style="42" customWidth="1"/>
    <col min="37" max="37" width="10.421875" style="42" customWidth="1"/>
    <col min="38" max="38" width="9.421875" style="42" customWidth="1"/>
    <col min="39" max="39" width="10.421875" style="42" customWidth="1"/>
    <col min="40" max="42" width="9.421875" style="42" customWidth="1"/>
    <col min="43" max="45" width="10.00390625" style="42" customWidth="1"/>
    <col min="46" max="49" width="9.421875" style="42" customWidth="1"/>
    <col min="50" max="50" width="10.140625" style="42" customWidth="1"/>
    <col min="51" max="52" width="9.421875" style="42" customWidth="1"/>
    <col min="53" max="53" width="10.57421875" style="42" customWidth="1"/>
    <col min="54" max="54" width="15.28125" style="42" customWidth="1"/>
    <col min="55" max="55" width="5.00390625" style="42" customWidth="1"/>
    <col min="56" max="16384" width="11.140625" style="42" customWidth="1"/>
  </cols>
  <sheetData>
    <row r="1" spans="1:55" ht="12.75" customHeight="1">
      <c r="A1" s="114"/>
      <c r="B1" s="100" t="s">
        <v>60</v>
      </c>
      <c r="C1" s="100" t="s">
        <v>60</v>
      </c>
      <c r="D1" s="100" t="s">
        <v>60</v>
      </c>
      <c r="E1" s="100" t="s">
        <v>60</v>
      </c>
      <c r="F1" s="100" t="s">
        <v>61</v>
      </c>
      <c r="G1" s="100" t="s">
        <v>60</v>
      </c>
      <c r="H1" s="100" t="s">
        <v>62</v>
      </c>
      <c r="I1" s="100" t="s">
        <v>60</v>
      </c>
      <c r="J1" s="100" t="s">
        <v>64</v>
      </c>
      <c r="K1" s="100" t="s">
        <v>60</v>
      </c>
      <c r="L1" s="100" t="s">
        <v>63</v>
      </c>
      <c r="M1" s="100" t="s">
        <v>60</v>
      </c>
      <c r="N1" s="100" t="s">
        <v>60</v>
      </c>
      <c r="O1" s="100" t="s">
        <v>60</v>
      </c>
      <c r="P1" s="100" t="s">
        <v>65</v>
      </c>
      <c r="Q1" s="100" t="s">
        <v>60</v>
      </c>
      <c r="R1" s="100" t="s">
        <v>60</v>
      </c>
      <c r="S1" s="100" t="s">
        <v>60</v>
      </c>
      <c r="T1" s="100" t="s">
        <v>60</v>
      </c>
      <c r="U1" s="100" t="s">
        <v>60</v>
      </c>
      <c r="V1" s="100" t="s">
        <v>60</v>
      </c>
      <c r="W1" s="100" t="s">
        <v>66</v>
      </c>
      <c r="X1" s="100" t="s">
        <v>60</v>
      </c>
      <c r="Y1" s="100" t="s">
        <v>60</v>
      </c>
      <c r="Z1" s="100" t="s">
        <v>68</v>
      </c>
      <c r="AA1" s="100" t="s">
        <v>60</v>
      </c>
      <c r="AB1" s="100" t="s">
        <v>60</v>
      </c>
      <c r="AC1" s="100" t="s">
        <v>70</v>
      </c>
      <c r="AD1" s="100" t="s">
        <v>60</v>
      </c>
      <c r="AE1" s="100" t="s">
        <v>69</v>
      </c>
      <c r="AF1" s="100" t="s">
        <v>60</v>
      </c>
      <c r="AG1" s="100" t="s">
        <v>60</v>
      </c>
      <c r="AH1" s="100" t="s">
        <v>60</v>
      </c>
      <c r="AI1" s="100" t="s">
        <v>60</v>
      </c>
      <c r="AJ1" s="100" t="s">
        <v>60</v>
      </c>
      <c r="AK1" s="100" t="s">
        <v>69</v>
      </c>
      <c r="AL1" s="100" t="s">
        <v>60</v>
      </c>
      <c r="AM1" s="100" t="s">
        <v>69</v>
      </c>
      <c r="AN1" s="100" t="s">
        <v>60</v>
      </c>
      <c r="AO1" s="100" t="s">
        <v>60</v>
      </c>
      <c r="AP1" s="100" t="s">
        <v>60</v>
      </c>
      <c r="AQ1" s="100" t="s">
        <v>69</v>
      </c>
      <c r="AR1" s="100" t="s">
        <v>69</v>
      </c>
      <c r="AS1" s="100" t="s">
        <v>69</v>
      </c>
      <c r="AT1" s="100" t="s">
        <v>60</v>
      </c>
      <c r="AU1" s="100" t="s">
        <v>67</v>
      </c>
      <c r="AV1" s="100" t="s">
        <v>60</v>
      </c>
      <c r="AW1" s="100" t="s">
        <v>60</v>
      </c>
      <c r="AX1" s="100" t="s">
        <v>69</v>
      </c>
      <c r="AY1" s="100" t="s">
        <v>60</v>
      </c>
      <c r="AZ1" s="100" t="s">
        <v>60</v>
      </c>
      <c r="BA1" s="100"/>
      <c r="BB1" s="100" t="s">
        <v>525</v>
      </c>
      <c r="BC1" s="100"/>
    </row>
    <row r="2" spans="1:55" ht="12.75">
      <c r="A2" s="49" t="s">
        <v>317</v>
      </c>
      <c r="B2" s="100" t="s">
        <v>74</v>
      </c>
      <c r="C2" s="100" t="s">
        <v>73</v>
      </c>
      <c r="D2" s="100" t="s">
        <v>75</v>
      </c>
      <c r="E2" s="100" t="s">
        <v>77</v>
      </c>
      <c r="F2" s="100" t="s">
        <v>76</v>
      </c>
      <c r="G2" s="100" t="s">
        <v>78</v>
      </c>
      <c r="H2" s="100" t="s">
        <v>76</v>
      </c>
      <c r="I2" s="100" t="s">
        <v>79</v>
      </c>
      <c r="J2" s="100" t="s">
        <v>76</v>
      </c>
      <c r="K2" s="100" t="s">
        <v>80</v>
      </c>
      <c r="L2" s="100" t="s">
        <v>76</v>
      </c>
      <c r="M2" s="100" t="s">
        <v>81</v>
      </c>
      <c r="N2" s="100" t="s">
        <v>83</v>
      </c>
      <c r="O2" s="100" t="s">
        <v>82</v>
      </c>
      <c r="P2" s="100" t="s">
        <v>88</v>
      </c>
      <c r="Q2" s="100" t="s">
        <v>86</v>
      </c>
      <c r="R2" s="100" t="s">
        <v>85</v>
      </c>
      <c r="S2" s="100" t="s">
        <v>84</v>
      </c>
      <c r="T2" s="100" t="s">
        <v>87</v>
      </c>
      <c r="U2" s="100" t="s">
        <v>89</v>
      </c>
      <c r="V2" s="100" t="s">
        <v>90</v>
      </c>
      <c r="W2" s="100" t="s">
        <v>91</v>
      </c>
      <c r="X2" s="100" t="s">
        <v>94</v>
      </c>
      <c r="Y2" s="100" t="s">
        <v>93</v>
      </c>
      <c r="Z2" s="100" t="s">
        <v>76</v>
      </c>
      <c r="AA2" s="100" t="s">
        <v>95</v>
      </c>
      <c r="AB2" s="100" t="s">
        <v>93</v>
      </c>
      <c r="AC2" s="100" t="s">
        <v>76</v>
      </c>
      <c r="AD2" s="100" t="s">
        <v>93</v>
      </c>
      <c r="AE2" s="100" t="s">
        <v>93</v>
      </c>
      <c r="AF2" s="100" t="s">
        <v>96</v>
      </c>
      <c r="AG2" s="100" t="s">
        <v>99</v>
      </c>
      <c r="AH2" s="100" t="s">
        <v>97</v>
      </c>
      <c r="AI2" s="100" t="s">
        <v>98</v>
      </c>
      <c r="AJ2" s="100" t="s">
        <v>101</v>
      </c>
      <c r="AK2" s="100" t="s">
        <v>100</v>
      </c>
      <c r="AL2" s="100" t="s">
        <v>104</v>
      </c>
      <c r="AM2" s="100" t="s">
        <v>102</v>
      </c>
      <c r="AN2" s="100" t="s">
        <v>103</v>
      </c>
      <c r="AO2" s="100" t="s">
        <v>105</v>
      </c>
      <c r="AP2" s="100" t="s">
        <v>106</v>
      </c>
      <c r="AQ2" s="100" t="s">
        <v>108</v>
      </c>
      <c r="AR2" s="100" t="s">
        <v>107</v>
      </c>
      <c r="AS2" s="100" t="s">
        <v>109</v>
      </c>
      <c r="AT2" s="100" t="s">
        <v>93</v>
      </c>
      <c r="AU2" s="100" t="s">
        <v>92</v>
      </c>
      <c r="AV2" s="100" t="s">
        <v>278</v>
      </c>
      <c r="AW2" s="100" t="s">
        <v>110</v>
      </c>
      <c r="AX2" s="100" t="s">
        <v>111</v>
      </c>
      <c r="AY2" s="100" t="s">
        <v>112</v>
      </c>
      <c r="AZ2" s="100" t="s">
        <v>113</v>
      </c>
      <c r="BA2" s="100"/>
      <c r="BB2" s="100"/>
      <c r="BC2" s="100"/>
    </row>
    <row r="3" spans="1:55" ht="12.75">
      <c r="A3" s="114"/>
      <c r="B3" s="100"/>
      <c r="C3" s="100" t="s">
        <v>114</v>
      </c>
      <c r="D3" s="100" t="s">
        <v>55</v>
      </c>
      <c r="E3" s="100" t="s">
        <v>55</v>
      </c>
      <c r="F3" s="100" t="s">
        <v>92</v>
      </c>
      <c r="G3" s="100" t="s">
        <v>118</v>
      </c>
      <c r="H3" s="100" t="s">
        <v>119</v>
      </c>
      <c r="I3" s="100" t="s">
        <v>120</v>
      </c>
      <c r="J3" s="100" t="s">
        <v>92</v>
      </c>
      <c r="K3" s="100" t="s">
        <v>55</v>
      </c>
      <c r="L3" s="100" t="s">
        <v>92</v>
      </c>
      <c r="M3" s="100" t="s">
        <v>118</v>
      </c>
      <c r="N3" s="100" t="s">
        <v>55</v>
      </c>
      <c r="O3" s="100" t="s">
        <v>121</v>
      </c>
      <c r="P3" s="100" t="s">
        <v>125</v>
      </c>
      <c r="Q3" s="100" t="s">
        <v>123</v>
      </c>
      <c r="R3" s="100" t="s">
        <v>122</v>
      </c>
      <c r="S3" s="100" t="s">
        <v>55</v>
      </c>
      <c r="T3" s="100" t="s">
        <v>124</v>
      </c>
      <c r="U3" s="100" t="s">
        <v>126</v>
      </c>
      <c r="V3" s="100" t="s">
        <v>118</v>
      </c>
      <c r="W3" s="100" t="s">
        <v>127</v>
      </c>
      <c r="X3" s="100" t="s">
        <v>129</v>
      </c>
      <c r="Y3" s="100" t="s">
        <v>128</v>
      </c>
      <c r="Z3" s="100" t="s">
        <v>130</v>
      </c>
      <c r="AA3" s="100"/>
      <c r="AB3" s="100" t="s">
        <v>136</v>
      </c>
      <c r="AC3" s="100" t="s">
        <v>92</v>
      </c>
      <c r="AD3" s="100" t="s">
        <v>131</v>
      </c>
      <c r="AE3" s="100" t="s">
        <v>133</v>
      </c>
      <c r="AF3" s="100" t="s">
        <v>132</v>
      </c>
      <c r="AG3" s="100"/>
      <c r="AH3" s="100" t="s">
        <v>134</v>
      </c>
      <c r="AI3" s="100" t="s">
        <v>135</v>
      </c>
      <c r="AJ3" s="100" t="s">
        <v>250</v>
      </c>
      <c r="AK3" s="100" t="s">
        <v>137</v>
      </c>
      <c r="AL3" s="100" t="s">
        <v>140</v>
      </c>
      <c r="AM3" s="100" t="s">
        <v>138</v>
      </c>
      <c r="AN3" s="100" t="s">
        <v>139</v>
      </c>
      <c r="AO3" s="100" t="s">
        <v>141</v>
      </c>
      <c r="AP3" s="100" t="s">
        <v>142</v>
      </c>
      <c r="AQ3" s="100" t="s">
        <v>143</v>
      </c>
      <c r="AR3" s="100" t="s">
        <v>95</v>
      </c>
      <c r="AS3" s="100" t="s">
        <v>144</v>
      </c>
      <c r="AT3" s="100" t="s">
        <v>145</v>
      </c>
      <c r="AU3" s="100" t="s">
        <v>146</v>
      </c>
      <c r="AV3" s="100" t="s">
        <v>277</v>
      </c>
      <c r="AW3" s="100" t="s">
        <v>147</v>
      </c>
      <c r="AX3" s="100" t="s">
        <v>148</v>
      </c>
      <c r="AY3" s="100" t="s">
        <v>149</v>
      </c>
      <c r="AZ3" s="100" t="s">
        <v>150</v>
      </c>
      <c r="BA3" s="100"/>
      <c r="BB3" s="100"/>
      <c r="BC3" s="100"/>
    </row>
    <row r="4" spans="1:55" s="105" customFormat="1" ht="12.75">
      <c r="A4" s="245"/>
      <c r="B4" s="104" t="s">
        <v>233</v>
      </c>
      <c r="C4" s="104" t="s">
        <v>151</v>
      </c>
      <c r="D4" s="104" t="s">
        <v>156</v>
      </c>
      <c r="E4" s="104" t="s">
        <v>157</v>
      </c>
      <c r="F4" s="104" t="s">
        <v>160</v>
      </c>
      <c r="G4" s="104" t="s">
        <v>161</v>
      </c>
      <c r="H4" s="104" t="s">
        <v>162</v>
      </c>
      <c r="I4" s="104" t="s">
        <v>163</v>
      </c>
      <c r="J4" s="104" t="s">
        <v>164</v>
      </c>
      <c r="K4" s="104" t="s">
        <v>165</v>
      </c>
      <c r="L4" s="104" t="s">
        <v>166</v>
      </c>
      <c r="M4" s="104" t="s">
        <v>167</v>
      </c>
      <c r="N4" s="104" t="s">
        <v>168</v>
      </c>
      <c r="O4" s="104" t="s">
        <v>169</v>
      </c>
      <c r="P4" s="104" t="s">
        <v>170</v>
      </c>
      <c r="Q4" s="104" t="s">
        <v>171</v>
      </c>
      <c r="R4" s="104" t="s">
        <v>172</v>
      </c>
      <c r="S4" s="104" t="s">
        <v>173</v>
      </c>
      <c r="T4" s="104" t="s">
        <v>174</v>
      </c>
      <c r="U4" s="104" t="s">
        <v>175</v>
      </c>
      <c r="V4" s="104" t="s">
        <v>176</v>
      </c>
      <c r="W4" s="104" t="s">
        <v>177</v>
      </c>
      <c r="X4" s="104" t="s">
        <v>178</v>
      </c>
      <c r="Y4" s="104" t="s">
        <v>179</v>
      </c>
      <c r="Z4" s="104" t="s">
        <v>180</v>
      </c>
      <c r="AA4" s="104" t="s">
        <v>181</v>
      </c>
      <c r="AB4" s="104" t="s">
        <v>182</v>
      </c>
      <c r="AC4" s="104" t="s">
        <v>183</v>
      </c>
      <c r="AD4" s="104" t="s">
        <v>184</v>
      </c>
      <c r="AE4" s="104" t="s">
        <v>185</v>
      </c>
      <c r="AF4" s="104" t="s">
        <v>186</v>
      </c>
      <c r="AG4" s="104" t="s">
        <v>187</v>
      </c>
      <c r="AH4" s="104" t="s">
        <v>190</v>
      </c>
      <c r="AI4" s="104" t="s">
        <v>191</v>
      </c>
      <c r="AJ4" s="104" t="s">
        <v>192</v>
      </c>
      <c r="AK4" s="104" t="s">
        <v>193</v>
      </c>
      <c r="AL4" s="104" t="s">
        <v>194</v>
      </c>
      <c r="AM4" s="104" t="s">
        <v>196</v>
      </c>
      <c r="AN4" s="104" t="s">
        <v>197</v>
      </c>
      <c r="AO4" s="104" t="s">
        <v>198</v>
      </c>
      <c r="AP4" s="104" t="s">
        <v>199</v>
      </c>
      <c r="AQ4" s="104" t="s">
        <v>200</v>
      </c>
      <c r="AR4" s="104" t="s">
        <v>201</v>
      </c>
      <c r="AS4" s="104" t="s">
        <v>202</v>
      </c>
      <c r="AT4" s="104" t="s">
        <v>203</v>
      </c>
      <c r="AU4" s="104" t="s">
        <v>204</v>
      </c>
      <c r="AV4" s="104" t="s">
        <v>205</v>
      </c>
      <c r="AW4" s="104" t="s">
        <v>206</v>
      </c>
      <c r="AX4" s="104" t="s">
        <v>207</v>
      </c>
      <c r="AY4" s="104" t="s">
        <v>208</v>
      </c>
      <c r="AZ4" s="104" t="s">
        <v>209</v>
      </c>
      <c r="BB4" s="100"/>
      <c r="BC4" s="100"/>
    </row>
    <row r="5" spans="1:55" ht="12.75">
      <c r="A5" s="246" t="s">
        <v>324</v>
      </c>
      <c r="BB5" s="29"/>
      <c r="BC5" s="29"/>
    </row>
    <row r="6" spans="1:55" ht="15" customHeight="1">
      <c r="A6" s="246" t="s">
        <v>325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/>
      <c r="BB6" s="29">
        <f>SUM(B6:AZ6)</f>
        <v>0</v>
      </c>
      <c r="BC6" s="29"/>
    </row>
    <row r="7" spans="1:55" ht="8.25" customHeight="1">
      <c r="A7" s="247"/>
      <c r="BB7" s="29"/>
      <c r="BC7" s="29"/>
    </row>
    <row r="8" spans="1:55" ht="12.75">
      <c r="A8" s="246" t="s">
        <v>326</v>
      </c>
      <c r="BB8" s="29"/>
      <c r="BC8" s="29"/>
    </row>
    <row r="9" spans="1:55" ht="12.75">
      <c r="A9" s="247" t="s">
        <v>327</v>
      </c>
      <c r="B9" s="30">
        <v>139615</v>
      </c>
      <c r="C9" s="30">
        <v>232175</v>
      </c>
      <c r="D9" s="30">
        <v>217639.163</v>
      </c>
      <c r="E9" s="30">
        <v>85048</v>
      </c>
      <c r="F9" s="30">
        <v>158167</v>
      </c>
      <c r="G9" s="30">
        <v>80000</v>
      </c>
      <c r="H9" s="30">
        <v>0</v>
      </c>
      <c r="I9" s="30">
        <v>0</v>
      </c>
      <c r="J9" s="30">
        <v>0</v>
      </c>
      <c r="K9" s="30">
        <v>73424</v>
      </c>
      <c r="L9" s="30">
        <v>79467</v>
      </c>
      <c r="M9" s="30">
        <v>29210.91</v>
      </c>
      <c r="N9" s="30">
        <v>0</v>
      </c>
      <c r="O9" s="30">
        <v>36363</v>
      </c>
      <c r="P9" s="30">
        <v>0</v>
      </c>
      <c r="Q9" s="30">
        <v>0</v>
      </c>
      <c r="R9" s="30">
        <v>0</v>
      </c>
      <c r="S9" s="30">
        <v>0</v>
      </c>
      <c r="T9" s="30">
        <v>26039.4</v>
      </c>
      <c r="U9" s="30">
        <v>15513</v>
      </c>
      <c r="V9" s="30">
        <v>18722</v>
      </c>
      <c r="W9" s="30">
        <v>0</v>
      </c>
      <c r="X9" s="30">
        <v>0</v>
      </c>
      <c r="Y9" s="30">
        <v>0</v>
      </c>
      <c r="Z9" s="30">
        <v>0</v>
      </c>
      <c r="AA9" s="30">
        <v>11954.129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9601.09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/>
      <c r="BB9" s="29">
        <f aca="true" t="shared" si="0" ref="BB9:BB57">SUM(B9:AZ9)</f>
        <v>1212938.6919999998</v>
      </c>
      <c r="BC9" s="29"/>
    </row>
    <row r="10" spans="1:55" ht="12.75">
      <c r="A10" s="248" t="s">
        <v>328</v>
      </c>
      <c r="B10" s="30">
        <v>0</v>
      </c>
      <c r="C10" s="30">
        <v>0</v>
      </c>
      <c r="D10" s="30">
        <v>35440.084</v>
      </c>
      <c r="E10" s="30">
        <v>0</v>
      </c>
      <c r="F10" s="30">
        <v>0</v>
      </c>
      <c r="G10" s="30">
        <v>204882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29">
        <v>0</v>
      </c>
      <c r="Q10" s="29">
        <v>0</v>
      </c>
      <c r="R10" s="29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/>
      <c r="BB10" s="29">
        <f t="shared" si="0"/>
        <v>240322.084</v>
      </c>
      <c r="BC10" s="29"/>
    </row>
    <row r="11" spans="1:55" ht="12.75">
      <c r="A11" s="248" t="s">
        <v>329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29">
        <v>0</v>
      </c>
      <c r="Q11" s="29">
        <v>0</v>
      </c>
      <c r="R11" s="29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/>
      <c r="BB11" s="29">
        <f t="shared" si="0"/>
        <v>0</v>
      </c>
      <c r="BC11" s="29"/>
    </row>
    <row r="12" spans="1:55" ht="12.75">
      <c r="A12" s="248" t="s">
        <v>330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214851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29">
        <v>0</v>
      </c>
      <c r="Q12" s="29">
        <v>0</v>
      </c>
      <c r="R12" s="29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/>
      <c r="BB12" s="29">
        <f t="shared" si="0"/>
        <v>214851</v>
      </c>
      <c r="BC12" s="29"/>
    </row>
    <row r="13" spans="1:55" ht="12.75">
      <c r="A13" s="247" t="s">
        <v>331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29">
        <v>0</v>
      </c>
      <c r="Q13" s="29">
        <v>0</v>
      </c>
      <c r="R13" s="29">
        <v>0</v>
      </c>
      <c r="S13" s="30">
        <v>0</v>
      </c>
      <c r="T13" s="30">
        <v>35440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/>
      <c r="BB13" s="29">
        <f t="shared" si="0"/>
        <v>35440</v>
      </c>
      <c r="BC13" s="29"/>
    </row>
    <row r="14" spans="1:55" ht="12.75">
      <c r="A14" s="247" t="s">
        <v>332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29">
        <v>0</v>
      </c>
      <c r="Q14" s="29">
        <v>0</v>
      </c>
      <c r="R14" s="29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/>
      <c r="BB14" s="29">
        <f t="shared" si="0"/>
        <v>0</v>
      </c>
      <c r="BC14" s="29"/>
    </row>
    <row r="15" spans="1:55" ht="5.25" customHeight="1">
      <c r="A15" s="247"/>
      <c r="BB15" s="29"/>
      <c r="BC15" s="29"/>
    </row>
    <row r="16" spans="1:55" ht="12.75">
      <c r="A16" s="249" t="s">
        <v>333</v>
      </c>
      <c r="BB16" s="29"/>
      <c r="BC16" s="29"/>
    </row>
    <row r="17" spans="1:55" ht="12.75">
      <c r="A17" s="247" t="s">
        <v>334</v>
      </c>
      <c r="B17" s="30">
        <v>29348048</v>
      </c>
      <c r="C17" s="30">
        <v>29442799</v>
      </c>
      <c r="D17" s="30">
        <v>15385088.074000001</v>
      </c>
      <c r="E17" s="30">
        <v>12039823</v>
      </c>
      <c r="F17" s="30">
        <v>11930755</v>
      </c>
      <c r="G17" s="30">
        <v>7306860</v>
      </c>
      <c r="H17" s="30">
        <v>4838792</v>
      </c>
      <c r="I17" s="30">
        <v>11108589</v>
      </c>
      <c r="J17" s="30">
        <v>8783753</v>
      </c>
      <c r="K17" s="30">
        <v>4053449</v>
      </c>
      <c r="L17" s="30">
        <v>4777404</v>
      </c>
      <c r="M17" s="30">
        <v>6324664.113</v>
      </c>
      <c r="N17" s="30">
        <v>8466097.707</v>
      </c>
      <c r="O17" s="30">
        <v>4318746</v>
      </c>
      <c r="P17" s="30">
        <v>10987389.461</v>
      </c>
      <c r="Q17" s="30">
        <v>2920222.757</v>
      </c>
      <c r="R17" s="30">
        <v>7103218</v>
      </c>
      <c r="S17" s="30">
        <v>6361572</v>
      </c>
      <c r="T17" s="30">
        <v>3763044.8</v>
      </c>
      <c r="U17" s="30">
        <v>3109079</v>
      </c>
      <c r="V17" s="30">
        <v>1774147</v>
      </c>
      <c r="W17" s="30">
        <v>4734525</v>
      </c>
      <c r="X17" s="30">
        <v>5185038</v>
      </c>
      <c r="Y17" s="30">
        <v>1009108.99</v>
      </c>
      <c r="Z17" s="30">
        <v>5534889.5819999995</v>
      </c>
      <c r="AA17" s="30">
        <v>2912363.294</v>
      </c>
      <c r="AB17" s="30">
        <v>2332721</v>
      </c>
      <c r="AC17" s="30">
        <v>3467031</v>
      </c>
      <c r="AD17" s="30">
        <v>277583</v>
      </c>
      <c r="AE17" s="30">
        <v>2403712</v>
      </c>
      <c r="AF17" s="30">
        <v>491440</v>
      </c>
      <c r="AG17" s="30">
        <v>247704.7</v>
      </c>
      <c r="AH17" s="30">
        <v>1357914</v>
      </c>
      <c r="AI17" s="30">
        <v>854697.274</v>
      </c>
      <c r="AJ17" s="30">
        <v>713128.383</v>
      </c>
      <c r="AK17" s="30">
        <v>59014</v>
      </c>
      <c r="AL17" s="30">
        <v>1142068</v>
      </c>
      <c r="AM17" s="30">
        <v>185943.615</v>
      </c>
      <c r="AN17" s="30">
        <v>955935</v>
      </c>
      <c r="AO17" s="30">
        <v>190835</v>
      </c>
      <c r="AP17" s="30">
        <v>455279</v>
      </c>
      <c r="AQ17" s="30">
        <v>359094</v>
      </c>
      <c r="AR17" s="29">
        <v>15599.524</v>
      </c>
      <c r="AS17" s="30">
        <v>134595</v>
      </c>
      <c r="AT17" s="30">
        <v>397795</v>
      </c>
      <c r="AU17" s="30">
        <v>1312</v>
      </c>
      <c r="AV17" s="30">
        <v>60788</v>
      </c>
      <c r="AW17" s="30">
        <v>52503</v>
      </c>
      <c r="AX17" s="30">
        <v>0</v>
      </c>
      <c r="AY17" s="30">
        <v>10000</v>
      </c>
      <c r="AZ17" s="30">
        <v>0</v>
      </c>
      <c r="BA17" s="30"/>
      <c r="BB17" s="29">
        <f t="shared" si="0"/>
        <v>229686158.27399996</v>
      </c>
      <c r="BC17" s="29"/>
    </row>
    <row r="18" spans="1:55" ht="12.75">
      <c r="A18" s="247" t="s">
        <v>335</v>
      </c>
      <c r="B18" s="30">
        <v>60564258</v>
      </c>
      <c r="C18" s="30">
        <v>49687620</v>
      </c>
      <c r="D18" s="30">
        <v>27668420.221</v>
      </c>
      <c r="E18" s="30">
        <v>30054079</v>
      </c>
      <c r="F18" s="30">
        <v>25495895</v>
      </c>
      <c r="G18" s="30">
        <v>16614085</v>
      </c>
      <c r="H18" s="30">
        <v>17324501</v>
      </c>
      <c r="I18" s="30">
        <v>6015046</v>
      </c>
      <c r="J18" s="30">
        <v>8794498</v>
      </c>
      <c r="K18" s="30">
        <v>8573820</v>
      </c>
      <c r="L18" s="30">
        <v>7951419</v>
      </c>
      <c r="M18" s="30">
        <v>4347045.927</v>
      </c>
      <c r="N18" s="30">
        <v>2097670</v>
      </c>
      <c r="O18" s="30">
        <v>7464030.4</v>
      </c>
      <c r="P18" s="30">
        <v>968898.396</v>
      </c>
      <c r="Q18" s="30">
        <v>5132927.194</v>
      </c>
      <c r="R18" s="30">
        <v>2543893</v>
      </c>
      <c r="S18" s="30">
        <v>3389586</v>
      </c>
      <c r="T18" s="30">
        <v>6182656.2</v>
      </c>
      <c r="U18" s="30">
        <v>5681089.4</v>
      </c>
      <c r="V18" s="30">
        <v>5969435</v>
      </c>
      <c r="W18" s="30">
        <v>1689582</v>
      </c>
      <c r="X18" s="30">
        <v>645017</v>
      </c>
      <c r="Y18" s="30">
        <v>5099093.62</v>
      </c>
      <c r="Z18" s="30">
        <v>388751.50800000003</v>
      </c>
      <c r="AA18" s="30">
        <v>1718247.614</v>
      </c>
      <c r="AB18" s="30">
        <v>1197085</v>
      </c>
      <c r="AC18" s="30">
        <v>0</v>
      </c>
      <c r="AD18" s="30">
        <v>574211</v>
      </c>
      <c r="AE18" s="30">
        <v>155929</v>
      </c>
      <c r="AF18" s="30">
        <v>2031673</v>
      </c>
      <c r="AG18" s="30">
        <v>1313519.1</v>
      </c>
      <c r="AH18" s="30">
        <v>667052</v>
      </c>
      <c r="AI18" s="30">
        <v>605111.876</v>
      </c>
      <c r="AJ18" s="30">
        <v>218024.632</v>
      </c>
      <c r="AK18" s="30">
        <v>773979</v>
      </c>
      <c r="AL18" s="30">
        <v>82129</v>
      </c>
      <c r="AM18" s="30">
        <v>1060976.705</v>
      </c>
      <c r="AN18" s="30">
        <v>239785</v>
      </c>
      <c r="AO18" s="30">
        <v>718129.5</v>
      </c>
      <c r="AP18" s="30">
        <v>328846</v>
      </c>
      <c r="AQ18" s="30">
        <v>270050</v>
      </c>
      <c r="AR18" s="29">
        <f>(296014328-10808469)/1000</f>
        <v>285205.859</v>
      </c>
      <c r="AS18" s="30">
        <v>200580</v>
      </c>
      <c r="AT18" s="30">
        <v>73009</v>
      </c>
      <c r="AU18" s="30">
        <v>391659.4</v>
      </c>
      <c r="AV18" s="30">
        <v>216789</v>
      </c>
      <c r="AW18" s="30">
        <v>96694</v>
      </c>
      <c r="AX18" s="30">
        <v>18557</v>
      </c>
      <c r="AY18" s="30">
        <v>4029.042</v>
      </c>
      <c r="AZ18" s="30">
        <v>7385</v>
      </c>
      <c r="BA18" s="30"/>
      <c r="BB18" s="29">
        <f t="shared" si="0"/>
        <v>323591973.59400004</v>
      </c>
      <c r="BC18" s="29"/>
    </row>
    <row r="19" spans="1:55" ht="12.75">
      <c r="A19" s="247" t="s">
        <v>336</v>
      </c>
      <c r="B19" s="30">
        <v>24240689</v>
      </c>
      <c r="C19" s="30">
        <v>20465482</v>
      </c>
      <c r="D19" s="30">
        <v>8906397.051</v>
      </c>
      <c r="E19" s="30">
        <v>3904413</v>
      </c>
      <c r="F19" s="30">
        <v>10671246</v>
      </c>
      <c r="G19" s="30">
        <v>1456947</v>
      </c>
      <c r="H19" s="30">
        <v>1063413</v>
      </c>
      <c r="I19" s="30">
        <v>2126972</v>
      </c>
      <c r="J19" s="30">
        <v>0</v>
      </c>
      <c r="K19" s="30">
        <v>5894391</v>
      </c>
      <c r="L19" s="30">
        <v>4141708</v>
      </c>
      <c r="M19" s="30">
        <v>1384150.192</v>
      </c>
      <c r="N19" s="30">
        <v>2347097</v>
      </c>
      <c r="O19" s="30">
        <v>592800</v>
      </c>
      <c r="P19" s="30">
        <v>489691.324</v>
      </c>
      <c r="Q19" s="30">
        <v>3563742.049</v>
      </c>
      <c r="R19" s="30">
        <v>1160504</v>
      </c>
      <c r="S19" s="30">
        <v>698972</v>
      </c>
      <c r="T19" s="30">
        <v>1215.9</v>
      </c>
      <c r="U19" s="30">
        <v>1535174.4</v>
      </c>
      <c r="V19" s="30">
        <v>18661</v>
      </c>
      <c r="W19" s="30">
        <v>1305241</v>
      </c>
      <c r="X19" s="30">
        <v>863425</v>
      </c>
      <c r="Y19" s="30">
        <v>483092.856</v>
      </c>
      <c r="Z19" s="30">
        <v>0</v>
      </c>
      <c r="AA19" s="30">
        <v>304479.629</v>
      </c>
      <c r="AB19" s="30">
        <v>884384</v>
      </c>
      <c r="AC19" s="30">
        <v>0</v>
      </c>
      <c r="AD19" s="30">
        <v>2149380</v>
      </c>
      <c r="AE19" s="30">
        <v>0</v>
      </c>
      <c r="AF19" s="30">
        <v>111398</v>
      </c>
      <c r="AG19" s="30">
        <v>2479.8</v>
      </c>
      <c r="AH19" s="30">
        <v>61334</v>
      </c>
      <c r="AI19" s="30">
        <v>60445.873</v>
      </c>
      <c r="AJ19" s="30">
        <v>443063.798</v>
      </c>
      <c r="AK19" s="30">
        <v>102090</v>
      </c>
      <c r="AL19" s="30">
        <v>89619</v>
      </c>
      <c r="AM19" s="30">
        <v>0</v>
      </c>
      <c r="AN19" s="30">
        <v>44291</v>
      </c>
      <c r="AO19" s="30">
        <v>138166.5</v>
      </c>
      <c r="AP19" s="30">
        <v>0</v>
      </c>
      <c r="AQ19" s="30">
        <v>881</v>
      </c>
      <c r="AR19" s="29">
        <v>52898.771</v>
      </c>
      <c r="AS19" s="30">
        <v>102868</v>
      </c>
      <c r="AT19" s="30">
        <v>6607</v>
      </c>
      <c r="AU19" s="30">
        <v>34805</v>
      </c>
      <c r="AV19" s="30">
        <v>10669</v>
      </c>
      <c r="AW19" s="30">
        <v>7390</v>
      </c>
      <c r="AX19" s="30">
        <v>47494</v>
      </c>
      <c r="AY19" s="30">
        <v>5471.479</v>
      </c>
      <c r="AZ19" s="30">
        <v>0</v>
      </c>
      <c r="BA19" s="30"/>
      <c r="BB19" s="29">
        <f t="shared" si="0"/>
        <v>101975640.622</v>
      </c>
      <c r="BC19" s="29"/>
    </row>
    <row r="20" spans="1:55" ht="12.75">
      <c r="A20" s="247" t="s">
        <v>337</v>
      </c>
      <c r="B20" s="30">
        <v>0</v>
      </c>
      <c r="C20" s="30">
        <v>0</v>
      </c>
      <c r="D20" s="30">
        <v>115414.298</v>
      </c>
      <c r="E20" s="30">
        <v>0</v>
      </c>
      <c r="F20" s="30">
        <v>0</v>
      </c>
      <c r="G20" s="30">
        <v>6704</v>
      </c>
      <c r="H20" s="30">
        <v>0</v>
      </c>
      <c r="I20" s="30">
        <v>0</v>
      </c>
      <c r="J20" s="30">
        <v>0</v>
      </c>
      <c r="K20" s="30">
        <v>128237</v>
      </c>
      <c r="L20" s="30">
        <v>9137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26853</v>
      </c>
      <c r="S20" s="30">
        <v>826848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8804.859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18968</v>
      </c>
      <c r="AI20" s="30">
        <v>0</v>
      </c>
      <c r="AJ20" s="30">
        <v>0</v>
      </c>
      <c r="AK20" s="30">
        <v>400000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29">
        <v>0</v>
      </c>
      <c r="AS20" s="29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/>
      <c r="BB20" s="29">
        <f t="shared" si="0"/>
        <v>1540966.157</v>
      </c>
      <c r="BC20" s="29"/>
    </row>
    <row r="21" spans="1:55" ht="12.75">
      <c r="A21" s="247" t="s">
        <v>338</v>
      </c>
      <c r="B21" s="30">
        <v>0</v>
      </c>
      <c r="C21" s="30">
        <v>0</v>
      </c>
      <c r="D21" s="30">
        <v>0</v>
      </c>
      <c r="E21" s="30">
        <v>5165</v>
      </c>
      <c r="F21" s="30">
        <v>0</v>
      </c>
      <c r="G21" s="30">
        <v>1004157</v>
      </c>
      <c r="H21" s="30">
        <v>0</v>
      </c>
      <c r="I21" s="30">
        <v>0</v>
      </c>
      <c r="J21" s="30">
        <v>1538549</v>
      </c>
      <c r="K21" s="30">
        <v>0</v>
      </c>
      <c r="L21" s="30">
        <v>239108</v>
      </c>
      <c r="M21" s="30">
        <v>0</v>
      </c>
      <c r="N21" s="30">
        <v>0</v>
      </c>
      <c r="O21" s="30">
        <v>0</v>
      </c>
      <c r="P21" s="30">
        <v>149818.169</v>
      </c>
      <c r="Q21" s="30">
        <v>251358.692</v>
      </c>
      <c r="R21" s="30">
        <v>573850</v>
      </c>
      <c r="S21" s="30">
        <v>0</v>
      </c>
      <c r="T21" s="30">
        <v>1072170.2</v>
      </c>
      <c r="U21" s="30">
        <v>0</v>
      </c>
      <c r="V21" s="30">
        <v>34302</v>
      </c>
      <c r="W21" s="30">
        <v>0</v>
      </c>
      <c r="X21" s="30">
        <v>0</v>
      </c>
      <c r="Y21" s="30">
        <v>0</v>
      </c>
      <c r="Z21" s="30">
        <v>0</v>
      </c>
      <c r="AA21" s="30">
        <v>216856.243</v>
      </c>
      <c r="AB21" s="30">
        <v>232358</v>
      </c>
      <c r="AC21" s="30">
        <v>60790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446664.524</v>
      </c>
      <c r="AJ21" s="30">
        <v>0</v>
      </c>
      <c r="AK21" s="30">
        <v>0</v>
      </c>
      <c r="AL21" s="30">
        <v>0</v>
      </c>
      <c r="AM21" s="30">
        <v>19929.89</v>
      </c>
      <c r="AN21" s="30">
        <v>0</v>
      </c>
      <c r="AO21" s="30">
        <v>0</v>
      </c>
      <c r="AP21" s="30">
        <v>0</v>
      </c>
      <c r="AQ21" s="30">
        <v>0</v>
      </c>
      <c r="AR21" s="29">
        <v>228243.752</v>
      </c>
      <c r="AS21" s="29">
        <v>0</v>
      </c>
      <c r="AT21" s="30">
        <v>0</v>
      </c>
      <c r="AU21" s="30">
        <v>0</v>
      </c>
      <c r="AV21" s="30">
        <v>45299</v>
      </c>
      <c r="AW21" s="30">
        <v>29636</v>
      </c>
      <c r="AX21" s="30">
        <v>0</v>
      </c>
      <c r="AY21" s="30">
        <v>0</v>
      </c>
      <c r="AZ21" s="30">
        <v>0</v>
      </c>
      <c r="BA21" s="30"/>
      <c r="BB21" s="29">
        <f t="shared" si="0"/>
        <v>6148255.47</v>
      </c>
      <c r="BC21" s="29"/>
    </row>
    <row r="22" spans="1:55" ht="12.75">
      <c r="A22" s="247" t="s">
        <v>339</v>
      </c>
      <c r="B22" s="30">
        <v>90175</v>
      </c>
      <c r="C22" s="30">
        <v>0</v>
      </c>
      <c r="D22" s="30">
        <v>186761.62</v>
      </c>
      <c r="E22" s="30">
        <v>2822</v>
      </c>
      <c r="F22" s="30">
        <v>0</v>
      </c>
      <c r="G22" s="30">
        <v>184973</v>
      </c>
      <c r="H22" s="30">
        <v>0</v>
      </c>
      <c r="I22" s="30">
        <v>0</v>
      </c>
      <c r="J22" s="30">
        <v>257286</v>
      </c>
      <c r="K22" s="30">
        <v>2536</v>
      </c>
      <c r="L22" s="30">
        <v>13358</v>
      </c>
      <c r="M22" s="30">
        <v>913867.996</v>
      </c>
      <c r="N22" s="30">
        <v>1335.891</v>
      </c>
      <c r="O22" s="30">
        <v>17127.4</v>
      </c>
      <c r="P22" s="30">
        <v>0</v>
      </c>
      <c r="Q22" s="30">
        <v>0</v>
      </c>
      <c r="R22" s="30">
        <v>8573</v>
      </c>
      <c r="S22" s="30">
        <v>0</v>
      </c>
      <c r="T22" s="30">
        <v>182377.3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-7818.5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47058</v>
      </c>
      <c r="AP22" s="30">
        <v>0</v>
      </c>
      <c r="AQ22" s="30">
        <v>0</v>
      </c>
      <c r="AR22" s="29">
        <v>0</v>
      </c>
      <c r="AS22" s="29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/>
      <c r="BB22" s="29">
        <f t="shared" si="0"/>
        <v>1900432.707</v>
      </c>
      <c r="BC22" s="29"/>
    </row>
    <row r="23" spans="1:55" ht="13.5">
      <c r="A23" s="256" t="s">
        <v>340</v>
      </c>
      <c r="B23" s="29">
        <f>SUM(B17:B22)</f>
        <v>114243170</v>
      </c>
      <c r="C23" s="29">
        <f aca="true" t="shared" si="1" ref="C23:AZ23">SUM(C17:C22)</f>
        <v>99595901</v>
      </c>
      <c r="D23" s="29">
        <f t="shared" si="1"/>
        <v>52262081.264</v>
      </c>
      <c r="E23" s="29">
        <f>SUM(E17:E22)</f>
        <v>46006302</v>
      </c>
      <c r="F23" s="29">
        <f t="shared" si="1"/>
        <v>48097896</v>
      </c>
      <c r="G23" s="29">
        <f t="shared" si="1"/>
        <v>26573726</v>
      </c>
      <c r="H23" s="29">
        <f t="shared" si="1"/>
        <v>23226706</v>
      </c>
      <c r="I23" s="29">
        <f t="shared" si="1"/>
        <v>19250607</v>
      </c>
      <c r="J23" s="29">
        <f>SUM(J17:J22)</f>
        <v>19374086</v>
      </c>
      <c r="K23" s="29">
        <f t="shared" si="1"/>
        <v>18652433</v>
      </c>
      <c r="L23" s="29">
        <f t="shared" si="1"/>
        <v>17132134</v>
      </c>
      <c r="M23" s="29">
        <f t="shared" si="1"/>
        <v>12969728.227999998</v>
      </c>
      <c r="N23" s="29">
        <f>SUM(N17:N22)</f>
        <v>12912200.598000001</v>
      </c>
      <c r="O23" s="29">
        <f t="shared" si="1"/>
        <v>12392703.8</v>
      </c>
      <c r="P23" s="29">
        <f>SUM(P17:P22)</f>
        <v>12595797.349999998</v>
      </c>
      <c r="Q23" s="29">
        <f t="shared" si="1"/>
        <v>11868250.692</v>
      </c>
      <c r="R23" s="29">
        <f>SUM(R17:R22)</f>
        <v>11416891</v>
      </c>
      <c r="S23" s="29">
        <f t="shared" si="1"/>
        <v>11276978</v>
      </c>
      <c r="T23" s="29">
        <f t="shared" si="1"/>
        <v>11201464.4</v>
      </c>
      <c r="U23" s="29">
        <f t="shared" si="1"/>
        <v>10325342.8</v>
      </c>
      <c r="V23" s="29">
        <f t="shared" si="1"/>
        <v>7796545</v>
      </c>
      <c r="W23" s="29">
        <f t="shared" si="1"/>
        <v>7729348</v>
      </c>
      <c r="X23" s="29">
        <f t="shared" si="1"/>
        <v>6693480</v>
      </c>
      <c r="Y23" s="29">
        <f t="shared" si="1"/>
        <v>6591295.466</v>
      </c>
      <c r="Z23" s="29">
        <f>SUM(Z17:Z22)</f>
        <v>5923641.09</v>
      </c>
      <c r="AA23" s="29">
        <f t="shared" si="1"/>
        <v>5160751.6389999995</v>
      </c>
      <c r="AB23" s="29">
        <f>SUM(AB17:AB22)</f>
        <v>4646548</v>
      </c>
      <c r="AC23" s="29">
        <f>SUM(AC17:AC22)</f>
        <v>3527821</v>
      </c>
      <c r="AD23" s="29">
        <f t="shared" si="1"/>
        <v>3001174</v>
      </c>
      <c r="AE23" s="29">
        <f t="shared" si="1"/>
        <v>2559641</v>
      </c>
      <c r="AF23" s="29">
        <f t="shared" si="1"/>
        <v>2634511</v>
      </c>
      <c r="AG23" s="29">
        <f t="shared" si="1"/>
        <v>1555885.1</v>
      </c>
      <c r="AH23" s="29">
        <f t="shared" si="1"/>
        <v>2105268</v>
      </c>
      <c r="AI23" s="29">
        <f t="shared" si="1"/>
        <v>1966919.5469999998</v>
      </c>
      <c r="AJ23" s="29">
        <f t="shared" si="1"/>
        <v>1374216.813</v>
      </c>
      <c r="AK23" s="29">
        <f t="shared" si="1"/>
        <v>1335083</v>
      </c>
      <c r="AL23" s="29">
        <f>SUM(AL17:AL22)</f>
        <v>1313816</v>
      </c>
      <c r="AM23" s="29">
        <f t="shared" si="1"/>
        <v>1266850.21</v>
      </c>
      <c r="AN23" s="29">
        <f t="shared" si="1"/>
        <v>1240011</v>
      </c>
      <c r="AO23" s="29">
        <f t="shared" si="1"/>
        <v>1094189</v>
      </c>
      <c r="AP23" s="29">
        <f t="shared" si="1"/>
        <v>784125</v>
      </c>
      <c r="AQ23" s="29">
        <f t="shared" si="1"/>
        <v>630025</v>
      </c>
      <c r="AR23" s="29">
        <f t="shared" si="1"/>
        <v>581947.906</v>
      </c>
      <c r="AS23" s="29">
        <f t="shared" si="1"/>
        <v>438043</v>
      </c>
      <c r="AT23" s="29">
        <f t="shared" si="1"/>
        <v>477411</v>
      </c>
      <c r="AU23" s="29">
        <f t="shared" si="1"/>
        <v>427776.4</v>
      </c>
      <c r="AV23" s="29">
        <f t="shared" si="1"/>
        <v>333545</v>
      </c>
      <c r="AW23" s="29">
        <f t="shared" si="1"/>
        <v>186223</v>
      </c>
      <c r="AX23" s="29">
        <f t="shared" si="1"/>
        <v>66051</v>
      </c>
      <c r="AY23" s="29">
        <f t="shared" si="1"/>
        <v>19500.521</v>
      </c>
      <c r="AZ23" s="29">
        <f t="shared" si="1"/>
        <v>7385</v>
      </c>
      <c r="BA23" s="29"/>
      <c r="BB23" s="29">
        <f t="shared" si="0"/>
        <v>664843426.8240001</v>
      </c>
      <c r="BC23" s="29"/>
    </row>
    <row r="24" spans="1:55" ht="13.5">
      <c r="A24" s="256" t="s">
        <v>341</v>
      </c>
      <c r="B24" s="29">
        <f>+SUM(B9:B14)+B23</f>
        <v>114382785</v>
      </c>
      <c r="C24" s="29">
        <f aca="true" t="shared" si="2" ref="C24:AZ24">+SUM(C9:C14)+C23</f>
        <v>99828076</v>
      </c>
      <c r="D24" s="29">
        <f t="shared" si="2"/>
        <v>52515160.511</v>
      </c>
      <c r="E24" s="29">
        <f>+SUM(E9:E14)+E23</f>
        <v>46091350</v>
      </c>
      <c r="F24" s="29">
        <f t="shared" si="2"/>
        <v>48256063</v>
      </c>
      <c r="G24" s="29">
        <f t="shared" si="2"/>
        <v>27073459</v>
      </c>
      <c r="H24" s="29">
        <f t="shared" si="2"/>
        <v>23226706</v>
      </c>
      <c r="I24" s="29">
        <f t="shared" si="2"/>
        <v>19250607</v>
      </c>
      <c r="J24" s="29">
        <f>+SUM(J9:J14)+J23</f>
        <v>19374086</v>
      </c>
      <c r="K24" s="29">
        <f t="shared" si="2"/>
        <v>18725857</v>
      </c>
      <c r="L24" s="29">
        <f t="shared" si="2"/>
        <v>17211601</v>
      </c>
      <c r="M24" s="29">
        <f t="shared" si="2"/>
        <v>12998939.137999998</v>
      </c>
      <c r="N24" s="29">
        <f>+SUM(N9:N14)+N23</f>
        <v>12912200.598000001</v>
      </c>
      <c r="O24" s="29">
        <f t="shared" si="2"/>
        <v>12429066.8</v>
      </c>
      <c r="P24" s="29">
        <f>+SUM(P9:P14)+P23</f>
        <v>12595797.349999998</v>
      </c>
      <c r="Q24" s="29">
        <f t="shared" si="2"/>
        <v>11868250.692</v>
      </c>
      <c r="R24" s="29">
        <f>+SUM(R9:R14)+R23</f>
        <v>11416891</v>
      </c>
      <c r="S24" s="29">
        <f t="shared" si="2"/>
        <v>11276978</v>
      </c>
      <c r="T24" s="29">
        <f t="shared" si="2"/>
        <v>11262943.8</v>
      </c>
      <c r="U24" s="29">
        <f t="shared" si="2"/>
        <v>10340855.8</v>
      </c>
      <c r="V24" s="29">
        <f t="shared" si="2"/>
        <v>7815267</v>
      </c>
      <c r="W24" s="29">
        <f t="shared" si="2"/>
        <v>7729348</v>
      </c>
      <c r="X24" s="29">
        <f t="shared" si="2"/>
        <v>6693480</v>
      </c>
      <c r="Y24" s="29">
        <f t="shared" si="2"/>
        <v>6591295.466</v>
      </c>
      <c r="Z24" s="29">
        <f>+SUM(Z9:Z14)+Z23</f>
        <v>5923641.09</v>
      </c>
      <c r="AA24" s="29">
        <f t="shared" si="2"/>
        <v>5172705.767999999</v>
      </c>
      <c r="AB24" s="29">
        <f>+SUM(AB9:AB14)+AB23</f>
        <v>4646548</v>
      </c>
      <c r="AC24" s="29">
        <f>+SUM(AC9:AC14)+AC23</f>
        <v>3527821</v>
      </c>
      <c r="AD24" s="29">
        <f t="shared" si="2"/>
        <v>3001174</v>
      </c>
      <c r="AE24" s="29">
        <f t="shared" si="2"/>
        <v>2559641</v>
      </c>
      <c r="AF24" s="29">
        <f t="shared" si="2"/>
        <v>2634511</v>
      </c>
      <c r="AG24" s="29">
        <f t="shared" si="2"/>
        <v>1565486.1900000002</v>
      </c>
      <c r="AH24" s="29">
        <f t="shared" si="2"/>
        <v>2105268</v>
      </c>
      <c r="AI24" s="29">
        <f t="shared" si="2"/>
        <v>1966919.5469999998</v>
      </c>
      <c r="AJ24" s="29">
        <f t="shared" si="2"/>
        <v>1374216.813</v>
      </c>
      <c r="AK24" s="29">
        <f t="shared" si="2"/>
        <v>1335083</v>
      </c>
      <c r="AL24" s="29">
        <f>+SUM(AL9:AL14)+AL23</f>
        <v>1313816</v>
      </c>
      <c r="AM24" s="29">
        <f t="shared" si="2"/>
        <v>1266850.21</v>
      </c>
      <c r="AN24" s="29">
        <f t="shared" si="2"/>
        <v>1240011</v>
      </c>
      <c r="AO24" s="29">
        <f t="shared" si="2"/>
        <v>1094189</v>
      </c>
      <c r="AP24" s="29">
        <f t="shared" si="2"/>
        <v>784125</v>
      </c>
      <c r="AQ24" s="29">
        <f t="shared" si="2"/>
        <v>630025</v>
      </c>
      <c r="AR24" s="29">
        <f t="shared" si="2"/>
        <v>581947.906</v>
      </c>
      <c r="AS24" s="29">
        <f t="shared" si="2"/>
        <v>438043</v>
      </c>
      <c r="AT24" s="29">
        <f t="shared" si="2"/>
        <v>477411</v>
      </c>
      <c r="AU24" s="29">
        <f t="shared" si="2"/>
        <v>427776.4</v>
      </c>
      <c r="AV24" s="29">
        <f t="shared" si="2"/>
        <v>333545</v>
      </c>
      <c r="AW24" s="29">
        <f t="shared" si="2"/>
        <v>186223</v>
      </c>
      <c r="AX24" s="29">
        <f t="shared" si="2"/>
        <v>66051</v>
      </c>
      <c r="AY24" s="29">
        <f t="shared" si="2"/>
        <v>19500.521</v>
      </c>
      <c r="AZ24" s="29">
        <f t="shared" si="2"/>
        <v>7385</v>
      </c>
      <c r="BA24" s="29"/>
      <c r="BB24" s="29">
        <f t="shared" si="0"/>
        <v>666546978.6000001</v>
      </c>
      <c r="BC24" s="29"/>
    </row>
    <row r="25" spans="1:55" ht="3.75" customHeight="1">
      <c r="A25" s="25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</row>
    <row r="26" spans="1:55" ht="12.75">
      <c r="A26" s="246" t="s">
        <v>342</v>
      </c>
      <c r="BB26" s="29"/>
      <c r="BC26" s="29"/>
    </row>
    <row r="27" spans="1:55" ht="12.75">
      <c r="A27" s="248" t="s">
        <v>343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/>
      <c r="BB27" s="29">
        <f t="shared" si="0"/>
        <v>0</v>
      </c>
      <c r="BC27" s="29"/>
    </row>
    <row r="28" spans="1:55" ht="12.75">
      <c r="A28" s="247" t="s">
        <v>344</v>
      </c>
      <c r="B28" s="30">
        <v>490560</v>
      </c>
      <c r="C28" s="30">
        <v>928000</v>
      </c>
      <c r="D28" s="30">
        <v>380000</v>
      </c>
      <c r="E28" s="30">
        <v>241667</v>
      </c>
      <c r="F28" s="30">
        <v>375849</v>
      </c>
      <c r="G28" s="30">
        <v>269248</v>
      </c>
      <c r="H28" s="30">
        <v>423276</v>
      </c>
      <c r="I28" s="30">
        <v>0</v>
      </c>
      <c r="J28" s="30">
        <v>0</v>
      </c>
      <c r="K28" s="30">
        <v>167237</v>
      </c>
      <c r="L28" s="30">
        <v>83657</v>
      </c>
      <c r="M28" s="30">
        <v>100945.972</v>
      </c>
      <c r="N28" s="30">
        <v>37321</v>
      </c>
      <c r="O28" s="30">
        <v>313676</v>
      </c>
      <c r="P28" s="30">
        <v>0</v>
      </c>
      <c r="Q28" s="30">
        <v>129825.134</v>
      </c>
      <c r="R28" s="30">
        <v>170005</v>
      </c>
      <c r="S28" s="30">
        <v>40344</v>
      </c>
      <c r="T28" s="30">
        <v>72667.7</v>
      </c>
      <c r="U28" s="30">
        <v>77618</v>
      </c>
      <c r="V28" s="30">
        <v>88127</v>
      </c>
      <c r="W28" s="30">
        <v>38103</v>
      </c>
      <c r="X28" s="30">
        <v>0</v>
      </c>
      <c r="Y28" s="30">
        <v>0</v>
      </c>
      <c r="Z28" s="30">
        <v>0</v>
      </c>
      <c r="AA28" s="30">
        <v>41000</v>
      </c>
      <c r="AB28" s="30">
        <v>125533</v>
      </c>
      <c r="AC28" s="30">
        <v>0</v>
      </c>
      <c r="AD28" s="30">
        <f>449749</f>
        <v>449749</v>
      </c>
      <c r="AE28" s="30">
        <v>141000</v>
      </c>
      <c r="AF28" s="30">
        <v>0</v>
      </c>
      <c r="AG28" s="30">
        <v>5698.7</v>
      </c>
      <c r="AH28" s="30">
        <v>0</v>
      </c>
      <c r="AI28" s="30">
        <v>15092.147</v>
      </c>
      <c r="AJ28" s="30">
        <v>0</v>
      </c>
      <c r="AK28" s="30">
        <v>0</v>
      </c>
      <c r="AL28" s="30">
        <v>0</v>
      </c>
      <c r="AM28" s="30">
        <v>4515.702</v>
      </c>
      <c r="AN28" s="30">
        <v>0</v>
      </c>
      <c r="AO28" s="30">
        <v>8578</v>
      </c>
      <c r="AP28" s="30">
        <v>1396</v>
      </c>
      <c r="AQ28" s="30">
        <v>0</v>
      </c>
      <c r="AR28" s="30">
        <v>0</v>
      </c>
      <c r="AS28" s="30">
        <v>10930</v>
      </c>
      <c r="AT28" s="30">
        <v>0</v>
      </c>
      <c r="AU28" s="30">
        <v>0</v>
      </c>
      <c r="AV28" s="30">
        <v>3774</v>
      </c>
      <c r="AW28" s="30">
        <v>142</v>
      </c>
      <c r="AX28" s="30">
        <v>0</v>
      </c>
      <c r="AY28" s="30">
        <v>0</v>
      </c>
      <c r="AZ28" s="30">
        <v>0</v>
      </c>
      <c r="BA28" s="30"/>
      <c r="BB28" s="29">
        <f t="shared" si="0"/>
        <v>5235535.3549999995</v>
      </c>
      <c r="BC28" s="29"/>
    </row>
    <row r="29" spans="1:55" ht="12.75">
      <c r="A29" s="247" t="s">
        <v>345</v>
      </c>
      <c r="B29" s="30">
        <v>802419</v>
      </c>
      <c r="C29" s="30">
        <v>11237</v>
      </c>
      <c r="D29" s="30">
        <v>43863</v>
      </c>
      <c r="E29" s="30">
        <v>453002</v>
      </c>
      <c r="F29" s="30">
        <f>19536+1029317</f>
        <v>1048853</v>
      </c>
      <c r="G29" s="30">
        <v>9317</v>
      </c>
      <c r="H29" s="30">
        <v>3426</v>
      </c>
      <c r="I29" s="30">
        <v>3684</v>
      </c>
      <c r="J29" s="30">
        <v>2984</v>
      </c>
      <c r="K29" s="30">
        <v>1119</v>
      </c>
      <c r="L29" s="30">
        <v>152312</v>
      </c>
      <c r="M29" s="30">
        <v>3063.574</v>
      </c>
      <c r="N29" s="30">
        <v>4743</v>
      </c>
      <c r="O29" s="30">
        <v>11084</v>
      </c>
      <c r="P29" s="30">
        <v>4473.993</v>
      </c>
      <c r="Q29" s="30">
        <v>10</v>
      </c>
      <c r="R29" s="30">
        <v>7075</v>
      </c>
      <c r="S29" s="30">
        <v>16850</v>
      </c>
      <c r="T29" s="30">
        <v>2825</v>
      </c>
      <c r="U29" s="30">
        <v>85473</v>
      </c>
      <c r="V29" s="30">
        <v>13508</v>
      </c>
      <c r="W29" s="30">
        <v>6624</v>
      </c>
      <c r="X29" s="30">
        <v>3095</v>
      </c>
      <c r="Y29" s="30">
        <v>1791.569</v>
      </c>
      <c r="Z29" s="30">
        <v>29999.607</v>
      </c>
      <c r="AA29" s="30">
        <v>2000</v>
      </c>
      <c r="AB29" s="30">
        <v>14726</v>
      </c>
      <c r="AC29" s="30">
        <v>9860</v>
      </c>
      <c r="AD29" s="30">
        <v>7804</v>
      </c>
      <c r="AE29" s="30">
        <v>2741</v>
      </c>
      <c r="AF29" s="30">
        <v>196</v>
      </c>
      <c r="AG29" s="30">
        <v>513.3</v>
      </c>
      <c r="AH29" s="30">
        <v>0</v>
      </c>
      <c r="AI29" s="30">
        <v>800</v>
      </c>
      <c r="AJ29" s="30">
        <v>143.9</v>
      </c>
      <c r="AK29" s="30">
        <v>0</v>
      </c>
      <c r="AL29" s="30">
        <v>6736</v>
      </c>
      <c r="AM29" s="30">
        <v>1467.606</v>
      </c>
      <c r="AN29" s="30">
        <v>9694</v>
      </c>
      <c r="AO29" s="30">
        <v>398</v>
      </c>
      <c r="AP29" s="30">
        <v>9849</v>
      </c>
      <c r="AQ29" s="30">
        <v>588</v>
      </c>
      <c r="AR29" s="30">
        <v>179.994</v>
      </c>
      <c r="AS29" s="30">
        <v>1147</v>
      </c>
      <c r="AT29" s="30">
        <v>536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/>
      <c r="BB29" s="29">
        <f t="shared" si="0"/>
        <v>2792211.5429999996</v>
      </c>
      <c r="BC29" s="29"/>
    </row>
    <row r="30" spans="1:55" ht="13.5">
      <c r="A30" s="256" t="s">
        <v>346</v>
      </c>
      <c r="B30" s="29">
        <f aca="true" t="shared" si="3" ref="B30:S30">SUM(B27:B29)</f>
        <v>1292979</v>
      </c>
      <c r="C30" s="29">
        <f t="shared" si="3"/>
        <v>939237</v>
      </c>
      <c r="D30" s="29">
        <f t="shared" si="3"/>
        <v>423863</v>
      </c>
      <c r="E30" s="29">
        <f>SUM(E27:E29)</f>
        <v>694669</v>
      </c>
      <c r="F30" s="29">
        <f t="shared" si="3"/>
        <v>1424702</v>
      </c>
      <c r="G30" s="29">
        <f t="shared" si="3"/>
        <v>278565</v>
      </c>
      <c r="H30" s="29">
        <f t="shared" si="3"/>
        <v>426702</v>
      </c>
      <c r="I30" s="29">
        <f t="shared" si="3"/>
        <v>3684</v>
      </c>
      <c r="J30" s="29">
        <f>SUM(J27:J29)</f>
        <v>2984</v>
      </c>
      <c r="K30" s="29">
        <f t="shared" si="3"/>
        <v>168356</v>
      </c>
      <c r="L30" s="29">
        <f t="shared" si="3"/>
        <v>235969</v>
      </c>
      <c r="M30" s="29">
        <f t="shared" si="3"/>
        <v>104009.54599999999</v>
      </c>
      <c r="N30" s="29">
        <f>SUM(N27:N29)</f>
        <v>42064</v>
      </c>
      <c r="O30" s="29">
        <f t="shared" si="3"/>
        <v>324760</v>
      </c>
      <c r="P30" s="29">
        <v>4473.993</v>
      </c>
      <c r="Q30" s="29">
        <f t="shared" si="3"/>
        <v>129835.134</v>
      </c>
      <c r="R30" s="29">
        <f>SUM(R27:R29)</f>
        <v>177080</v>
      </c>
      <c r="S30" s="29">
        <f t="shared" si="3"/>
        <v>57194</v>
      </c>
      <c r="T30" s="29">
        <f aca="true" t="shared" si="4" ref="T30:AZ30">SUM(T27:T29)</f>
        <v>75492.7</v>
      </c>
      <c r="U30" s="29">
        <f t="shared" si="4"/>
        <v>163091</v>
      </c>
      <c r="V30" s="29">
        <f t="shared" si="4"/>
        <v>101635</v>
      </c>
      <c r="W30" s="29">
        <f t="shared" si="4"/>
        <v>44727</v>
      </c>
      <c r="X30" s="29">
        <f t="shared" si="4"/>
        <v>3095</v>
      </c>
      <c r="Y30" s="29">
        <f t="shared" si="4"/>
        <v>1791.569</v>
      </c>
      <c r="Z30" s="29">
        <f>SUM(Z27:Z29)</f>
        <v>29999.607</v>
      </c>
      <c r="AA30" s="29">
        <f t="shared" si="4"/>
        <v>43000</v>
      </c>
      <c r="AB30" s="29">
        <f>SUM(AB27:AB29)</f>
        <v>140259</v>
      </c>
      <c r="AC30" s="29">
        <f>SUM(AC27:AC29)</f>
        <v>9860</v>
      </c>
      <c r="AD30" s="29">
        <f t="shared" si="4"/>
        <v>457553</v>
      </c>
      <c r="AE30" s="29">
        <f t="shared" si="4"/>
        <v>143741</v>
      </c>
      <c r="AF30" s="29">
        <f t="shared" si="4"/>
        <v>196</v>
      </c>
      <c r="AG30" s="29">
        <f t="shared" si="4"/>
        <v>6212</v>
      </c>
      <c r="AH30" s="29">
        <f t="shared" si="4"/>
        <v>0</v>
      </c>
      <c r="AI30" s="29">
        <f t="shared" si="4"/>
        <v>15892.147</v>
      </c>
      <c r="AJ30" s="29">
        <f t="shared" si="4"/>
        <v>143.9</v>
      </c>
      <c r="AK30" s="29">
        <f t="shared" si="4"/>
        <v>0</v>
      </c>
      <c r="AL30" s="29">
        <f>SUM(AL27:AL29)</f>
        <v>6736</v>
      </c>
      <c r="AM30" s="29">
        <f t="shared" si="4"/>
        <v>5983.308</v>
      </c>
      <c r="AN30" s="29">
        <f t="shared" si="4"/>
        <v>9694</v>
      </c>
      <c r="AO30" s="29">
        <f t="shared" si="4"/>
        <v>8976</v>
      </c>
      <c r="AP30" s="29">
        <f t="shared" si="4"/>
        <v>11245</v>
      </c>
      <c r="AQ30" s="29">
        <f t="shared" si="4"/>
        <v>588</v>
      </c>
      <c r="AR30" s="29">
        <f t="shared" si="4"/>
        <v>179.994</v>
      </c>
      <c r="AS30" s="29">
        <f t="shared" si="4"/>
        <v>12077</v>
      </c>
      <c r="AT30" s="29">
        <f t="shared" si="4"/>
        <v>536</v>
      </c>
      <c r="AU30" s="29">
        <f t="shared" si="4"/>
        <v>0</v>
      </c>
      <c r="AV30" s="29">
        <f t="shared" si="4"/>
        <v>3774</v>
      </c>
      <c r="AW30" s="29">
        <f t="shared" si="4"/>
        <v>142</v>
      </c>
      <c r="AX30" s="29">
        <f t="shared" si="4"/>
        <v>0</v>
      </c>
      <c r="AY30" s="29">
        <f t="shared" si="4"/>
        <v>0</v>
      </c>
      <c r="AZ30" s="29">
        <f t="shared" si="4"/>
        <v>0</v>
      </c>
      <c r="BA30" s="29"/>
      <c r="BB30" s="29">
        <f t="shared" si="0"/>
        <v>8027746.898</v>
      </c>
      <c r="BC30" s="29"/>
    </row>
    <row r="31" spans="1:55" ht="5.25" customHeight="1">
      <c r="A31" s="250"/>
      <c r="P31" s="30"/>
      <c r="BB31" s="29"/>
      <c r="BC31" s="29"/>
    </row>
    <row r="32" spans="1:55" ht="12.75">
      <c r="A32" s="246" t="s">
        <v>347</v>
      </c>
      <c r="BB32" s="29"/>
      <c r="BC32" s="29"/>
    </row>
    <row r="33" spans="1:55" ht="12.75">
      <c r="A33" s="247" t="s">
        <v>348</v>
      </c>
      <c r="B33" s="30">
        <v>19664</v>
      </c>
      <c r="C33" s="30">
        <v>73067</v>
      </c>
      <c r="D33" s="30">
        <v>22947.18</v>
      </c>
      <c r="E33" s="30">
        <v>4322</v>
      </c>
      <c r="F33" s="30">
        <v>19933</v>
      </c>
      <c r="G33" s="30">
        <v>9858</v>
      </c>
      <c r="H33" s="30">
        <v>8883</v>
      </c>
      <c r="I33" s="30">
        <v>1793</v>
      </c>
      <c r="J33" s="30">
        <v>0</v>
      </c>
      <c r="K33" s="30">
        <v>23411</v>
      </c>
      <c r="L33" s="30">
        <v>17497</v>
      </c>
      <c r="M33" s="30">
        <v>0</v>
      </c>
      <c r="N33" s="30">
        <v>0</v>
      </c>
      <c r="O33" s="30">
        <v>1313</v>
      </c>
      <c r="P33" s="30">
        <v>0</v>
      </c>
      <c r="Q33" s="30">
        <v>13363.449</v>
      </c>
      <c r="R33" s="30">
        <v>1386</v>
      </c>
      <c r="S33" s="30">
        <v>0</v>
      </c>
      <c r="T33" s="30">
        <v>3139.1</v>
      </c>
      <c r="U33" s="30">
        <v>2185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1785.597</v>
      </c>
      <c r="AB33" s="30">
        <v>9602</v>
      </c>
      <c r="AC33" s="30">
        <v>0</v>
      </c>
      <c r="AD33" s="30">
        <v>0</v>
      </c>
      <c r="AE33" s="30">
        <v>0</v>
      </c>
      <c r="AF33" s="30">
        <v>0</v>
      </c>
      <c r="AG33" s="30">
        <v>1716.1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/>
      <c r="BB33" s="29">
        <f t="shared" si="0"/>
        <v>235865.426</v>
      </c>
      <c r="BC33" s="29"/>
    </row>
    <row r="34" spans="1:55" ht="12.75">
      <c r="A34" s="247" t="s">
        <v>349</v>
      </c>
      <c r="B34" s="30">
        <v>794342</v>
      </c>
      <c r="C34" s="30">
        <v>1337458</v>
      </c>
      <c r="D34" s="30">
        <v>562161.962</v>
      </c>
      <c r="E34" s="30">
        <v>296833</v>
      </c>
      <c r="F34" s="30">
        <v>333703</v>
      </c>
      <c r="G34" s="30">
        <v>1023887</v>
      </c>
      <c r="H34" s="30">
        <v>281195</v>
      </c>
      <c r="I34" s="30">
        <v>485226</v>
      </c>
      <c r="J34" s="30">
        <v>319030</v>
      </c>
      <c r="K34" s="30">
        <v>151036</v>
      </c>
      <c r="L34" s="30">
        <v>198797</v>
      </c>
      <c r="M34" s="30">
        <v>134572.215</v>
      </c>
      <c r="N34" s="30">
        <v>75239.45</v>
      </c>
      <c r="O34" s="30">
        <v>185615</v>
      </c>
      <c r="P34" s="30">
        <v>128240.992</v>
      </c>
      <c r="Q34" s="30">
        <v>2416.953</v>
      </c>
      <c r="R34" s="30">
        <v>121716</v>
      </c>
      <c r="S34" s="30">
        <v>75240</v>
      </c>
      <c r="T34" s="30">
        <v>18639.7</v>
      </c>
      <c r="U34" s="30">
        <v>0</v>
      </c>
      <c r="V34" s="30">
        <v>346714</v>
      </c>
      <c r="W34" s="30">
        <v>22490</v>
      </c>
      <c r="X34" s="30">
        <v>73265</v>
      </c>
      <c r="Y34" s="30">
        <v>119728.883</v>
      </c>
      <c r="Z34" s="30">
        <v>14235.586</v>
      </c>
      <c r="AA34" s="30">
        <v>120605.435</v>
      </c>
      <c r="AB34" s="30">
        <v>43290</v>
      </c>
      <c r="AC34" s="30">
        <v>213343</v>
      </c>
      <c r="AD34" s="30">
        <v>133369</v>
      </c>
      <c r="AE34" s="30">
        <v>8194</v>
      </c>
      <c r="AF34" s="30">
        <v>11947</v>
      </c>
      <c r="AG34" s="30">
        <v>813945.4</v>
      </c>
      <c r="AH34" s="30">
        <v>1128</v>
      </c>
      <c r="AI34" s="30">
        <v>20435.47</v>
      </c>
      <c r="AJ34" s="30">
        <v>36188.049</v>
      </c>
      <c r="AK34" s="30">
        <v>11637</v>
      </c>
      <c r="AL34" s="30">
        <v>4527</v>
      </c>
      <c r="AM34" s="30">
        <f>25966.885+10324.263</f>
        <v>36291.148</v>
      </c>
      <c r="AN34" s="30">
        <v>260</v>
      </c>
      <c r="AO34" s="30">
        <v>1422</v>
      </c>
      <c r="AP34" s="30">
        <v>236</v>
      </c>
      <c r="AQ34" s="30">
        <v>821</v>
      </c>
      <c r="AR34" s="30">
        <v>0</v>
      </c>
      <c r="AS34" s="30">
        <v>44719</v>
      </c>
      <c r="AT34" s="30">
        <v>284</v>
      </c>
      <c r="AU34" s="30">
        <v>18572.4</v>
      </c>
      <c r="AV34" s="30">
        <v>7151</v>
      </c>
      <c r="AW34" s="30">
        <v>2851</v>
      </c>
      <c r="AX34" s="30">
        <v>38111</v>
      </c>
      <c r="AY34" s="30">
        <v>40023.162</v>
      </c>
      <c r="AZ34" s="30">
        <v>1816.651</v>
      </c>
      <c r="BA34" s="30"/>
      <c r="BB34" s="29">
        <f t="shared" si="0"/>
        <v>8712950.456000002</v>
      </c>
      <c r="BC34" s="29"/>
    </row>
    <row r="35" spans="1:55" ht="12.75">
      <c r="A35" s="247" t="s">
        <v>350</v>
      </c>
      <c r="B35" s="30">
        <v>0</v>
      </c>
      <c r="C35" s="30">
        <v>0</v>
      </c>
      <c r="D35" s="30">
        <v>194322.369</v>
      </c>
      <c r="E35" s="30">
        <v>0</v>
      </c>
      <c r="F35" s="30">
        <v>0</v>
      </c>
      <c r="G35" s="30">
        <v>0</v>
      </c>
      <c r="H35" s="30">
        <v>0</v>
      </c>
      <c r="I35" s="30">
        <v>47752.2</v>
      </c>
      <c r="J35" s="30">
        <v>0</v>
      </c>
      <c r="K35" s="30">
        <v>0</v>
      </c>
      <c r="L35" s="30">
        <v>0</v>
      </c>
      <c r="M35" s="30">
        <v>6329.115</v>
      </c>
      <c r="N35" s="42">
        <v>0</v>
      </c>
      <c r="O35" s="30">
        <v>0</v>
      </c>
      <c r="P35" s="30">
        <v>0</v>
      </c>
      <c r="Q35" s="30">
        <v>0</v>
      </c>
      <c r="R35" s="30">
        <v>64486</v>
      </c>
      <c r="S35" s="30">
        <v>0</v>
      </c>
      <c r="T35" s="30">
        <v>0</v>
      </c>
      <c r="U35" s="30">
        <v>0</v>
      </c>
      <c r="V35" s="30">
        <v>0</v>
      </c>
      <c r="W35" s="30">
        <v>39410</v>
      </c>
      <c r="X35" s="30">
        <v>0</v>
      </c>
      <c r="Y35" s="30">
        <v>0</v>
      </c>
      <c r="Z35" s="30">
        <v>0</v>
      </c>
      <c r="AA35" s="30">
        <v>122931.993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4274</v>
      </c>
      <c r="AI35" s="30">
        <v>0</v>
      </c>
      <c r="AJ35" s="30">
        <v>0</v>
      </c>
      <c r="AK35" s="30">
        <v>0</v>
      </c>
      <c r="AL35" s="30">
        <v>210</v>
      </c>
      <c r="AM35" s="30">
        <v>0</v>
      </c>
      <c r="AN35" s="30">
        <v>3021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/>
      <c r="BB35" s="29">
        <f t="shared" si="0"/>
        <v>482736.677</v>
      </c>
      <c r="BC35" s="29"/>
    </row>
    <row r="36" spans="1:55" ht="13.5">
      <c r="A36" s="256" t="s">
        <v>351</v>
      </c>
      <c r="B36" s="29">
        <f>SUM(B33:B35)</f>
        <v>814006</v>
      </c>
      <c r="C36" s="29">
        <f aca="true" t="shared" si="5" ref="C36:AZ36">SUM(C33:C35)</f>
        <v>1410525</v>
      </c>
      <c r="D36" s="29">
        <f t="shared" si="5"/>
        <v>779431.5110000002</v>
      </c>
      <c r="E36" s="29">
        <f>SUM(E33:E35)</f>
        <v>301155</v>
      </c>
      <c r="F36" s="29">
        <f t="shared" si="5"/>
        <v>353636</v>
      </c>
      <c r="G36" s="29">
        <f t="shared" si="5"/>
        <v>1033745</v>
      </c>
      <c r="H36" s="29">
        <f t="shared" si="5"/>
        <v>290078</v>
      </c>
      <c r="I36" s="29">
        <f t="shared" si="5"/>
        <v>534771.2</v>
      </c>
      <c r="J36" s="29">
        <f>SUM(J33:J35)</f>
        <v>319030</v>
      </c>
      <c r="K36" s="29">
        <f t="shared" si="5"/>
        <v>174447</v>
      </c>
      <c r="L36" s="29">
        <f t="shared" si="5"/>
        <v>216294</v>
      </c>
      <c r="M36" s="29">
        <f t="shared" si="5"/>
        <v>140901.33</v>
      </c>
      <c r="N36" s="29">
        <f>SUM(N33:N34)</f>
        <v>75239.45</v>
      </c>
      <c r="O36" s="29">
        <f t="shared" si="5"/>
        <v>186928</v>
      </c>
      <c r="P36" s="29">
        <f>SUM(P33:P35)</f>
        <v>128240.992</v>
      </c>
      <c r="Q36" s="29">
        <f t="shared" si="5"/>
        <v>15780.402</v>
      </c>
      <c r="R36" s="29">
        <f>SUM(R33:R35)</f>
        <v>187588</v>
      </c>
      <c r="S36" s="29">
        <f t="shared" si="5"/>
        <v>75240</v>
      </c>
      <c r="T36" s="29">
        <f t="shared" si="5"/>
        <v>21778.8</v>
      </c>
      <c r="U36" s="29">
        <f t="shared" si="5"/>
        <v>2185</v>
      </c>
      <c r="V36" s="29">
        <f t="shared" si="5"/>
        <v>346714</v>
      </c>
      <c r="W36" s="29">
        <f t="shared" si="5"/>
        <v>61900</v>
      </c>
      <c r="X36" s="29">
        <f t="shared" si="5"/>
        <v>73265</v>
      </c>
      <c r="Y36" s="29">
        <f t="shared" si="5"/>
        <v>119728.883</v>
      </c>
      <c r="Z36" s="29">
        <f>SUM(Z33:Z35)</f>
        <v>14235.586</v>
      </c>
      <c r="AA36" s="29">
        <f t="shared" si="5"/>
        <v>245323.025</v>
      </c>
      <c r="AB36" s="29">
        <f>SUM(AB33:AB35)</f>
        <v>52892</v>
      </c>
      <c r="AC36" s="29">
        <f>SUM(AC33:AC35)</f>
        <v>213343</v>
      </c>
      <c r="AD36" s="29">
        <f t="shared" si="5"/>
        <v>133369</v>
      </c>
      <c r="AE36" s="29">
        <f t="shared" si="5"/>
        <v>8194</v>
      </c>
      <c r="AF36" s="29">
        <f t="shared" si="5"/>
        <v>11947</v>
      </c>
      <c r="AG36" s="29">
        <f t="shared" si="5"/>
        <v>815661.5</v>
      </c>
      <c r="AH36" s="29">
        <f t="shared" si="5"/>
        <v>5402</v>
      </c>
      <c r="AI36" s="29">
        <f t="shared" si="5"/>
        <v>20435.47</v>
      </c>
      <c r="AJ36" s="29">
        <f t="shared" si="5"/>
        <v>36188.049</v>
      </c>
      <c r="AK36" s="29">
        <f t="shared" si="5"/>
        <v>11637</v>
      </c>
      <c r="AL36" s="29">
        <f>SUM(AL33:AL35)</f>
        <v>4737</v>
      </c>
      <c r="AM36" s="29">
        <f t="shared" si="5"/>
        <v>36291.148</v>
      </c>
      <c r="AN36" s="29">
        <f t="shared" si="5"/>
        <v>3281</v>
      </c>
      <c r="AO36" s="29">
        <f t="shared" si="5"/>
        <v>1422</v>
      </c>
      <c r="AP36" s="29">
        <f t="shared" si="5"/>
        <v>236</v>
      </c>
      <c r="AQ36" s="29">
        <f t="shared" si="5"/>
        <v>821</v>
      </c>
      <c r="AR36" s="29">
        <f t="shared" si="5"/>
        <v>0</v>
      </c>
      <c r="AS36" s="29">
        <f t="shared" si="5"/>
        <v>44719</v>
      </c>
      <c r="AT36" s="29">
        <f t="shared" si="5"/>
        <v>284</v>
      </c>
      <c r="AU36" s="29">
        <f t="shared" si="5"/>
        <v>18572.4</v>
      </c>
      <c r="AV36" s="29">
        <f t="shared" si="5"/>
        <v>7151</v>
      </c>
      <c r="AW36" s="29">
        <f t="shared" si="5"/>
        <v>2851</v>
      </c>
      <c r="AX36" s="29">
        <f t="shared" si="5"/>
        <v>38111</v>
      </c>
      <c r="AY36" s="29">
        <f t="shared" si="5"/>
        <v>40023.162</v>
      </c>
      <c r="AZ36" s="29">
        <f t="shared" si="5"/>
        <v>1816.651</v>
      </c>
      <c r="BA36" s="29"/>
      <c r="BB36" s="29">
        <f t="shared" si="0"/>
        <v>9431552.559000004</v>
      </c>
      <c r="BC36" s="29"/>
    </row>
    <row r="37" spans="1:55" ht="6" customHeight="1">
      <c r="A37" s="251"/>
      <c r="BB37" s="29"/>
      <c r="BC37" s="29"/>
    </row>
    <row r="38" spans="1:55" ht="12.75">
      <c r="A38" s="251" t="s">
        <v>352</v>
      </c>
      <c r="B38" s="30"/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/>
      <c r="BB38" s="29">
        <f t="shared" si="0"/>
        <v>0</v>
      </c>
      <c r="BC38" s="29"/>
    </row>
    <row r="39" spans="1:55" ht="5.25" customHeight="1">
      <c r="A39" s="251"/>
      <c r="BB39" s="29"/>
      <c r="BC39" s="29"/>
    </row>
    <row r="40" spans="1:55" ht="15.75" customHeight="1">
      <c r="A40" s="256" t="s">
        <v>353</v>
      </c>
      <c r="B40" s="29">
        <f>+B24+B30+B36+B38</f>
        <v>116489770</v>
      </c>
      <c r="C40" s="29">
        <f aca="true" t="shared" si="6" ref="C40:AZ40">+C24+C30+C36+C38</f>
        <v>102177838</v>
      </c>
      <c r="D40" s="29">
        <f t="shared" si="6"/>
        <v>53718455.022</v>
      </c>
      <c r="E40" s="29">
        <f>+E24+E30+E36+E38</f>
        <v>47087174</v>
      </c>
      <c r="F40" s="29">
        <f t="shared" si="6"/>
        <v>50034401</v>
      </c>
      <c r="G40" s="29">
        <f t="shared" si="6"/>
        <v>28385769</v>
      </c>
      <c r="H40" s="29">
        <f t="shared" si="6"/>
        <v>23943486</v>
      </c>
      <c r="I40" s="29">
        <f t="shared" si="6"/>
        <v>19789062.2</v>
      </c>
      <c r="J40" s="29">
        <f>+J24+J30+J36+J38</f>
        <v>19696100</v>
      </c>
      <c r="K40" s="29">
        <f t="shared" si="6"/>
        <v>19068660</v>
      </c>
      <c r="L40" s="29">
        <f t="shared" si="6"/>
        <v>17663864</v>
      </c>
      <c r="M40" s="29">
        <f t="shared" si="6"/>
        <v>13243850.013999999</v>
      </c>
      <c r="N40" s="29">
        <f>+N24+N30+N36+N38</f>
        <v>13029504.048</v>
      </c>
      <c r="O40" s="29">
        <f t="shared" si="6"/>
        <v>12940754.8</v>
      </c>
      <c r="P40" s="29">
        <f>+P24+P30+P36+P38</f>
        <v>12728512.334999999</v>
      </c>
      <c r="Q40" s="29">
        <f t="shared" si="6"/>
        <v>12013866.228</v>
      </c>
      <c r="R40" s="29">
        <f>+R24+R30+R36+R38</f>
        <v>11781559</v>
      </c>
      <c r="S40" s="29">
        <f t="shared" si="6"/>
        <v>11409412</v>
      </c>
      <c r="T40" s="29">
        <f t="shared" si="6"/>
        <v>11360215.3</v>
      </c>
      <c r="U40" s="29">
        <f t="shared" si="6"/>
        <v>10506131.8</v>
      </c>
      <c r="V40" s="29">
        <f t="shared" si="6"/>
        <v>8263616</v>
      </c>
      <c r="W40" s="29">
        <f t="shared" si="6"/>
        <v>7835975</v>
      </c>
      <c r="X40" s="29">
        <f t="shared" si="6"/>
        <v>6769840</v>
      </c>
      <c r="Y40" s="29">
        <f t="shared" si="6"/>
        <v>6712815.9180000005</v>
      </c>
      <c r="Z40" s="29">
        <f>+Z24+Z30+Z36+Z38</f>
        <v>5967876.283</v>
      </c>
      <c r="AA40" s="29">
        <f t="shared" si="6"/>
        <v>5461028.793</v>
      </c>
      <c r="AB40" s="29">
        <f>+AB24+AB30+AB36+AB38</f>
        <v>4839699</v>
      </c>
      <c r="AC40" s="29">
        <f>+AC24+AC30+AC36+AC38</f>
        <v>3751024</v>
      </c>
      <c r="AD40" s="29">
        <f t="shared" si="6"/>
        <v>3592096</v>
      </c>
      <c r="AE40" s="29">
        <f t="shared" si="6"/>
        <v>2711576</v>
      </c>
      <c r="AF40" s="29">
        <f t="shared" si="6"/>
        <v>2646654</v>
      </c>
      <c r="AG40" s="29">
        <f t="shared" si="6"/>
        <v>2387359.6900000004</v>
      </c>
      <c r="AH40" s="29">
        <f t="shared" si="6"/>
        <v>2110670</v>
      </c>
      <c r="AI40" s="29">
        <f t="shared" si="6"/>
        <v>2003247.1639999999</v>
      </c>
      <c r="AJ40" s="29">
        <f t="shared" si="6"/>
        <v>1410548.762</v>
      </c>
      <c r="AK40" s="29">
        <f t="shared" si="6"/>
        <v>1346720</v>
      </c>
      <c r="AL40" s="29">
        <f>+AL24+AL30+AL36+AL38</f>
        <v>1325289</v>
      </c>
      <c r="AM40" s="29">
        <f t="shared" si="6"/>
        <v>1309124.666</v>
      </c>
      <c r="AN40" s="29">
        <f t="shared" si="6"/>
        <v>1252986</v>
      </c>
      <c r="AO40" s="29">
        <f t="shared" si="6"/>
        <v>1104587</v>
      </c>
      <c r="AP40" s="29">
        <f t="shared" si="6"/>
        <v>795606</v>
      </c>
      <c r="AQ40" s="29">
        <f t="shared" si="6"/>
        <v>631434</v>
      </c>
      <c r="AR40" s="29">
        <f t="shared" si="6"/>
        <v>582127.8999999999</v>
      </c>
      <c r="AS40" s="29">
        <f t="shared" si="6"/>
        <v>494839</v>
      </c>
      <c r="AT40" s="29">
        <f t="shared" si="6"/>
        <v>478231</v>
      </c>
      <c r="AU40" s="29">
        <f t="shared" si="6"/>
        <v>446348.80000000005</v>
      </c>
      <c r="AV40" s="29">
        <f t="shared" si="6"/>
        <v>344470</v>
      </c>
      <c r="AW40" s="29">
        <f t="shared" si="6"/>
        <v>189216</v>
      </c>
      <c r="AX40" s="29">
        <f t="shared" si="6"/>
        <v>104162</v>
      </c>
      <c r="AY40" s="29">
        <f t="shared" si="6"/>
        <v>59523.683</v>
      </c>
      <c r="AZ40" s="29">
        <f t="shared" si="6"/>
        <v>9201.651</v>
      </c>
      <c r="BA40" s="29"/>
      <c r="BB40" s="29">
        <f t="shared" si="0"/>
        <v>684006278.0569999</v>
      </c>
      <c r="BC40" s="29"/>
    </row>
    <row r="41" spans="1:55" ht="5.25" customHeight="1">
      <c r="A41" s="251"/>
      <c r="BB41" s="29"/>
      <c r="BC41" s="29"/>
    </row>
    <row r="42" spans="1:55" ht="12.75">
      <c r="A42" s="246" t="s">
        <v>354</v>
      </c>
      <c r="BB42" s="29">
        <f t="shared" si="0"/>
        <v>0</v>
      </c>
      <c r="BC42" s="29"/>
    </row>
    <row r="43" spans="1:55" ht="5.25" customHeight="1">
      <c r="A43" s="251"/>
      <c r="BB43" s="29"/>
      <c r="BC43" s="29"/>
    </row>
    <row r="44" spans="1:55" ht="12.75">
      <c r="A44" s="247" t="s">
        <v>355</v>
      </c>
      <c r="B44" s="29">
        <v>23454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2138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/>
      <c r="BB44" s="29">
        <f t="shared" si="0"/>
        <v>25592</v>
      </c>
      <c r="BC44" s="29"/>
    </row>
    <row r="45" spans="1:55" ht="6" customHeight="1">
      <c r="A45" s="251"/>
      <c r="BB45" s="29"/>
      <c r="BC45" s="29"/>
    </row>
    <row r="46" spans="1:55" ht="12.75">
      <c r="A46" s="247" t="s">
        <v>356</v>
      </c>
      <c r="BB46" s="29"/>
      <c r="BC46" s="29"/>
    </row>
    <row r="47" spans="1:55" ht="12.75">
      <c r="A47" s="252" t="s">
        <v>357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38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0</v>
      </c>
      <c r="BA47" s="30"/>
      <c r="BB47" s="29">
        <f t="shared" si="0"/>
        <v>38</v>
      </c>
      <c r="BC47" s="29"/>
    </row>
    <row r="48" spans="1:55" ht="12.75">
      <c r="A48" s="247" t="s">
        <v>358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4868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1179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  <c r="AX48" s="30">
        <v>0</v>
      </c>
      <c r="AY48" s="30">
        <v>0</v>
      </c>
      <c r="AZ48" s="30">
        <v>0</v>
      </c>
      <c r="BA48" s="30"/>
      <c r="BB48" s="29">
        <f t="shared" si="0"/>
        <v>6047</v>
      </c>
      <c r="BC48" s="29"/>
    </row>
    <row r="49" spans="1:55" ht="12.75">
      <c r="A49" s="247" t="s">
        <v>359</v>
      </c>
      <c r="B49" s="30">
        <v>56167.4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6240.81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/>
      <c r="BB49" s="29">
        <f t="shared" si="0"/>
        <v>62408.21</v>
      </c>
      <c r="BC49" s="29"/>
    </row>
    <row r="50" spans="1:55" ht="12.75">
      <c r="A50" s="247" t="s">
        <v>360</v>
      </c>
      <c r="B50" s="30">
        <v>284195.4</v>
      </c>
      <c r="C50" s="30">
        <v>220440</v>
      </c>
      <c r="D50" s="30">
        <v>45089.55</v>
      </c>
      <c r="E50" s="30">
        <v>19905</v>
      </c>
      <c r="F50" s="30">
        <f>2952803+1029316.9</f>
        <v>3982119.9</v>
      </c>
      <c r="G50" s="30">
        <v>7458</v>
      </c>
      <c r="H50" s="30">
        <v>3862</v>
      </c>
      <c r="I50" s="30">
        <v>0</v>
      </c>
      <c r="J50" s="30">
        <v>15616</v>
      </c>
      <c r="K50" s="30">
        <v>87759</v>
      </c>
      <c r="L50" s="30">
        <v>11963.379</v>
      </c>
      <c r="M50" s="30">
        <v>1387.601</v>
      </c>
      <c r="N50" s="30">
        <v>19703.4999</v>
      </c>
      <c r="O50" s="30">
        <v>29119.8</v>
      </c>
      <c r="P50" s="30">
        <v>13177.033</v>
      </c>
      <c r="Q50" s="30">
        <v>1961.096</v>
      </c>
      <c r="R50" s="30">
        <v>10923</v>
      </c>
      <c r="S50" s="30">
        <v>11173</v>
      </c>
      <c r="T50" s="30">
        <v>3263.9</v>
      </c>
      <c r="U50" s="30">
        <v>626</v>
      </c>
      <c r="V50" s="30">
        <v>2470.69999</v>
      </c>
      <c r="W50" s="30">
        <v>10496</v>
      </c>
      <c r="X50" s="30">
        <v>831.4</v>
      </c>
      <c r="Y50" s="30">
        <v>600</v>
      </c>
      <c r="Z50" s="30">
        <v>39424.244</v>
      </c>
      <c r="AA50" s="30">
        <v>13.195</v>
      </c>
      <c r="AB50" s="30">
        <v>9482</v>
      </c>
      <c r="AC50" s="30">
        <v>3809.1</v>
      </c>
      <c r="AD50" s="30">
        <v>42181</v>
      </c>
      <c r="AE50" s="30">
        <v>0</v>
      </c>
      <c r="AF50" s="30">
        <v>20413</v>
      </c>
      <c r="AG50" s="30">
        <v>1435.83</v>
      </c>
      <c r="AH50" s="30">
        <v>1877</v>
      </c>
      <c r="AI50" s="30">
        <v>0</v>
      </c>
      <c r="AJ50" s="30">
        <v>2529.966</v>
      </c>
      <c r="AK50" s="30">
        <v>1299</v>
      </c>
      <c r="AL50" s="30">
        <v>5669</v>
      </c>
      <c r="AM50" s="30">
        <v>1005.295</v>
      </c>
      <c r="AN50" s="30">
        <v>2449</v>
      </c>
      <c r="AO50" s="30">
        <v>1732</v>
      </c>
      <c r="AP50" s="30">
        <v>0</v>
      </c>
      <c r="AQ50" s="30">
        <v>1018</v>
      </c>
      <c r="AR50" s="30">
        <v>2110.262</v>
      </c>
      <c r="AS50" s="30">
        <v>1296</v>
      </c>
      <c r="AT50" s="30">
        <v>581</v>
      </c>
      <c r="AU50" s="30">
        <v>0</v>
      </c>
      <c r="AV50" s="30">
        <v>797</v>
      </c>
      <c r="AW50" s="30">
        <v>2800</v>
      </c>
      <c r="AX50" s="30">
        <v>0</v>
      </c>
      <c r="AY50" s="30">
        <v>19685.389</v>
      </c>
      <c r="AZ50" s="30">
        <v>340.802</v>
      </c>
      <c r="BA50" s="30"/>
      <c r="BB50" s="29">
        <f t="shared" si="0"/>
        <v>4946089.34189</v>
      </c>
      <c r="BC50" s="29"/>
    </row>
    <row r="51" spans="1:55" ht="13.5">
      <c r="A51" s="256" t="s">
        <v>361</v>
      </c>
      <c r="B51" s="29">
        <f>SUM(B47:B50)</f>
        <v>340362.80000000005</v>
      </c>
      <c r="C51" s="29">
        <f aca="true" t="shared" si="7" ref="C51:AZ51">SUM(C47:C50)</f>
        <v>220440</v>
      </c>
      <c r="D51" s="29">
        <f t="shared" si="7"/>
        <v>45089.55</v>
      </c>
      <c r="E51" s="29">
        <f>SUM(E47:E50)</f>
        <v>19905</v>
      </c>
      <c r="F51" s="29">
        <f t="shared" si="7"/>
        <v>3982119.9</v>
      </c>
      <c r="G51" s="29">
        <f t="shared" si="7"/>
        <v>7458</v>
      </c>
      <c r="H51" s="29">
        <f t="shared" si="7"/>
        <v>3862</v>
      </c>
      <c r="I51" s="29">
        <f t="shared" si="7"/>
        <v>0</v>
      </c>
      <c r="J51" s="29">
        <f>SUM(J47:J50)</f>
        <v>15616</v>
      </c>
      <c r="K51" s="29">
        <f t="shared" si="7"/>
        <v>87759</v>
      </c>
      <c r="L51" s="29">
        <f t="shared" si="7"/>
        <v>11963.379</v>
      </c>
      <c r="M51" s="29">
        <f t="shared" si="7"/>
        <v>1387.601</v>
      </c>
      <c r="N51" s="29">
        <f>SUM(N47:N50)</f>
        <v>19703.4999</v>
      </c>
      <c r="O51" s="29">
        <f t="shared" si="7"/>
        <v>33987.8</v>
      </c>
      <c r="P51" s="29">
        <f>SUM(P47:P50)</f>
        <v>13177.033</v>
      </c>
      <c r="Q51" s="29">
        <f t="shared" si="7"/>
        <v>1961.096</v>
      </c>
      <c r="R51" s="29">
        <f>SUM(R47:R50)</f>
        <v>10923</v>
      </c>
      <c r="S51" s="29">
        <f t="shared" si="7"/>
        <v>11173</v>
      </c>
      <c r="T51" s="29">
        <f t="shared" si="7"/>
        <v>3263.9</v>
      </c>
      <c r="U51" s="29">
        <f t="shared" si="7"/>
        <v>8045.81</v>
      </c>
      <c r="V51" s="29">
        <f t="shared" si="7"/>
        <v>2470.69999</v>
      </c>
      <c r="W51" s="29">
        <f t="shared" si="7"/>
        <v>10534</v>
      </c>
      <c r="X51" s="29">
        <f t="shared" si="7"/>
        <v>831.4</v>
      </c>
      <c r="Y51" s="29">
        <f t="shared" si="7"/>
        <v>600</v>
      </c>
      <c r="Z51" s="29">
        <f>SUM(Z47:Z50)</f>
        <v>39424.244</v>
      </c>
      <c r="AA51" s="29">
        <f t="shared" si="7"/>
        <v>13.195</v>
      </c>
      <c r="AB51" s="29">
        <f>SUM(AB47:AB50)</f>
        <v>9482</v>
      </c>
      <c r="AC51" s="29">
        <f>SUM(AC47:AC50)</f>
        <v>3809.1</v>
      </c>
      <c r="AD51" s="29">
        <f t="shared" si="7"/>
        <v>42181</v>
      </c>
      <c r="AE51" s="29">
        <f t="shared" si="7"/>
        <v>0</v>
      </c>
      <c r="AF51" s="29">
        <f t="shared" si="7"/>
        <v>20413</v>
      </c>
      <c r="AG51" s="29">
        <f t="shared" si="7"/>
        <v>1435.83</v>
      </c>
      <c r="AH51" s="29">
        <f t="shared" si="7"/>
        <v>1877</v>
      </c>
      <c r="AI51" s="29">
        <f t="shared" si="7"/>
        <v>0</v>
      </c>
      <c r="AJ51" s="29">
        <f t="shared" si="7"/>
        <v>2529.966</v>
      </c>
      <c r="AK51" s="29">
        <f t="shared" si="7"/>
        <v>1299</v>
      </c>
      <c r="AL51" s="29">
        <f>SUM(AL47:AL50)</f>
        <v>5669</v>
      </c>
      <c r="AM51" s="29">
        <f t="shared" si="7"/>
        <v>1005.295</v>
      </c>
      <c r="AN51" s="29">
        <f t="shared" si="7"/>
        <v>2449</v>
      </c>
      <c r="AO51" s="29">
        <f t="shared" si="7"/>
        <v>1732</v>
      </c>
      <c r="AP51" s="29">
        <f t="shared" si="7"/>
        <v>0</v>
      </c>
      <c r="AQ51" s="29">
        <f t="shared" si="7"/>
        <v>1018</v>
      </c>
      <c r="AR51" s="29">
        <f t="shared" si="7"/>
        <v>2110.262</v>
      </c>
      <c r="AS51" s="29">
        <f t="shared" si="7"/>
        <v>1296</v>
      </c>
      <c r="AT51" s="29">
        <f t="shared" si="7"/>
        <v>581</v>
      </c>
      <c r="AU51" s="29">
        <f t="shared" si="7"/>
        <v>0</v>
      </c>
      <c r="AV51" s="29">
        <f t="shared" si="7"/>
        <v>797</v>
      </c>
      <c r="AW51" s="29">
        <f t="shared" si="7"/>
        <v>2800</v>
      </c>
      <c r="AX51" s="29">
        <f t="shared" si="7"/>
        <v>0</v>
      </c>
      <c r="AY51" s="29">
        <f t="shared" si="7"/>
        <v>19685.389</v>
      </c>
      <c r="AZ51" s="29">
        <f t="shared" si="7"/>
        <v>340.802</v>
      </c>
      <c r="BA51" s="29"/>
      <c r="BB51" s="29">
        <f t="shared" si="0"/>
        <v>5014582.55189</v>
      </c>
      <c r="BC51" s="29"/>
    </row>
    <row r="52" spans="1:55" ht="6" customHeight="1">
      <c r="A52" s="251"/>
      <c r="P52" s="30"/>
      <c r="BB52" s="29"/>
      <c r="BC52" s="29"/>
    </row>
    <row r="53" spans="1:55" ht="12.75">
      <c r="A53" s="257" t="s">
        <v>362</v>
      </c>
      <c r="B53" s="29">
        <v>0</v>
      </c>
      <c r="C53" s="29">
        <v>0</v>
      </c>
      <c r="D53" s="29">
        <v>0</v>
      </c>
      <c r="E53" s="29">
        <v>4664</v>
      </c>
      <c r="F53" s="29">
        <v>12344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30">
        <v>0</v>
      </c>
      <c r="Q53" s="30">
        <v>0</v>
      </c>
      <c r="R53" s="29">
        <v>0</v>
      </c>
      <c r="S53" s="29">
        <v>10275</v>
      </c>
      <c r="T53" s="29">
        <v>0</v>
      </c>
      <c r="U53" s="29">
        <v>0</v>
      </c>
      <c r="V53" s="29">
        <v>0</v>
      </c>
      <c r="W53" s="29">
        <v>449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7651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/>
      <c r="BB53" s="29">
        <f t="shared" si="0"/>
        <v>35383</v>
      </c>
      <c r="BC53" s="29"/>
    </row>
    <row r="54" spans="1:55" ht="6" customHeight="1">
      <c r="A54" s="251"/>
      <c r="P54" s="30"/>
      <c r="BB54" s="29"/>
      <c r="BC54" s="29"/>
    </row>
    <row r="55" spans="1:55" ht="15.75" customHeight="1">
      <c r="A55" s="256" t="s">
        <v>363</v>
      </c>
      <c r="B55" s="29">
        <f>+B44+B51+B53</f>
        <v>363816.80000000005</v>
      </c>
      <c r="C55" s="29">
        <f aca="true" t="shared" si="8" ref="C55:AZ55">+C44+C51+C53</f>
        <v>220440</v>
      </c>
      <c r="D55" s="29">
        <f t="shared" si="8"/>
        <v>45089.55</v>
      </c>
      <c r="E55" s="29">
        <f>+E44+E51+E53</f>
        <v>24569</v>
      </c>
      <c r="F55" s="29">
        <f t="shared" si="8"/>
        <v>3994463.9</v>
      </c>
      <c r="G55" s="29">
        <f t="shared" si="8"/>
        <v>7458</v>
      </c>
      <c r="H55" s="29">
        <f t="shared" si="8"/>
        <v>3862</v>
      </c>
      <c r="I55" s="29">
        <f t="shared" si="8"/>
        <v>0</v>
      </c>
      <c r="J55" s="29">
        <f>+J44+J51+J53</f>
        <v>15616</v>
      </c>
      <c r="K55" s="29">
        <f t="shared" si="8"/>
        <v>87759</v>
      </c>
      <c r="L55" s="29">
        <f t="shared" si="8"/>
        <v>11963.379</v>
      </c>
      <c r="M55" s="29">
        <f t="shared" si="8"/>
        <v>1387.601</v>
      </c>
      <c r="N55" s="29">
        <f>+N44+N51+N53</f>
        <v>19703.4999</v>
      </c>
      <c r="O55" s="29">
        <f t="shared" si="8"/>
        <v>33987.8</v>
      </c>
      <c r="P55" s="29">
        <f>+P44+P51+P53</f>
        <v>13177.033</v>
      </c>
      <c r="Q55" s="29">
        <f t="shared" si="8"/>
        <v>1961.096</v>
      </c>
      <c r="R55" s="29">
        <f>+R44+R51+R53</f>
        <v>10923</v>
      </c>
      <c r="S55" s="29">
        <f t="shared" si="8"/>
        <v>21448</v>
      </c>
      <c r="T55" s="29">
        <f t="shared" si="8"/>
        <v>3263.9</v>
      </c>
      <c r="U55" s="29">
        <f t="shared" si="8"/>
        <v>10183.810000000001</v>
      </c>
      <c r="V55" s="29">
        <f t="shared" si="8"/>
        <v>2470.69999</v>
      </c>
      <c r="W55" s="29">
        <f t="shared" si="8"/>
        <v>10983</v>
      </c>
      <c r="X55" s="29">
        <f t="shared" si="8"/>
        <v>831.4</v>
      </c>
      <c r="Y55" s="29">
        <f t="shared" si="8"/>
        <v>600</v>
      </c>
      <c r="Z55" s="29">
        <f>+Z44+Z51+Z53</f>
        <v>39424.244</v>
      </c>
      <c r="AA55" s="29">
        <f t="shared" si="8"/>
        <v>13.195</v>
      </c>
      <c r="AB55" s="29">
        <f>+AB44+AB51+AB53</f>
        <v>9482</v>
      </c>
      <c r="AC55" s="29">
        <f>+AC44+AC51+AC53</f>
        <v>3809.1</v>
      </c>
      <c r="AD55" s="29">
        <f t="shared" si="8"/>
        <v>42181</v>
      </c>
      <c r="AE55" s="29">
        <f t="shared" si="8"/>
        <v>0</v>
      </c>
      <c r="AF55" s="29">
        <f t="shared" si="8"/>
        <v>20413</v>
      </c>
      <c r="AG55" s="29">
        <f t="shared" si="8"/>
        <v>1435.83</v>
      </c>
      <c r="AH55" s="29">
        <f t="shared" si="8"/>
        <v>1877</v>
      </c>
      <c r="AI55" s="29">
        <f t="shared" si="8"/>
        <v>0</v>
      </c>
      <c r="AJ55" s="29">
        <f t="shared" si="8"/>
        <v>2529.966</v>
      </c>
      <c r="AK55" s="29">
        <f t="shared" si="8"/>
        <v>1299</v>
      </c>
      <c r="AL55" s="29">
        <f>+AL44+AL51+AL53</f>
        <v>5669</v>
      </c>
      <c r="AM55" s="29">
        <f t="shared" si="8"/>
        <v>1005.295</v>
      </c>
      <c r="AN55" s="29">
        <f t="shared" si="8"/>
        <v>2449</v>
      </c>
      <c r="AO55" s="29">
        <f t="shared" si="8"/>
        <v>1732</v>
      </c>
      <c r="AP55" s="29">
        <f t="shared" si="8"/>
        <v>0</v>
      </c>
      <c r="AQ55" s="29">
        <f t="shared" si="8"/>
        <v>1018</v>
      </c>
      <c r="AR55" s="29">
        <f t="shared" si="8"/>
        <v>2110.262</v>
      </c>
      <c r="AS55" s="29">
        <f t="shared" si="8"/>
        <v>1296</v>
      </c>
      <c r="AT55" s="29">
        <f t="shared" si="8"/>
        <v>8232</v>
      </c>
      <c r="AU55" s="29">
        <f t="shared" si="8"/>
        <v>0</v>
      </c>
      <c r="AV55" s="29">
        <f t="shared" si="8"/>
        <v>797</v>
      </c>
      <c r="AW55" s="29">
        <f t="shared" si="8"/>
        <v>2800</v>
      </c>
      <c r="AX55" s="29">
        <f t="shared" si="8"/>
        <v>0</v>
      </c>
      <c r="AY55" s="29">
        <f t="shared" si="8"/>
        <v>19685.389</v>
      </c>
      <c r="AZ55" s="29">
        <f t="shared" si="8"/>
        <v>340.802</v>
      </c>
      <c r="BA55" s="29"/>
      <c r="BB55" s="29">
        <f t="shared" si="0"/>
        <v>5075557.55189</v>
      </c>
      <c r="BC55" s="29"/>
    </row>
    <row r="56" spans="1:55" ht="13.5" customHeight="1">
      <c r="A56" s="246" t="s">
        <v>364</v>
      </c>
      <c r="BB56" s="29"/>
      <c r="BC56" s="29"/>
    </row>
    <row r="57" spans="1:54" ht="12.75">
      <c r="A57" s="246" t="s">
        <v>365</v>
      </c>
      <c r="B57" s="29">
        <f>+B40-B55</f>
        <v>116125953.2</v>
      </c>
      <c r="C57" s="29">
        <f>+C40-C55</f>
        <v>101957398</v>
      </c>
      <c r="D57" s="29">
        <f>+D40-D55</f>
        <v>53673365.472</v>
      </c>
      <c r="E57" s="29">
        <f>+E40-E55</f>
        <v>47062605</v>
      </c>
      <c r="F57" s="29">
        <f>+F40-F55</f>
        <v>46039937.1</v>
      </c>
      <c r="G57" s="29">
        <f aca="true" t="shared" si="9" ref="G57:AZ57">+G40-G55</f>
        <v>28378311</v>
      </c>
      <c r="H57" s="29">
        <f t="shared" si="9"/>
        <v>23939624</v>
      </c>
      <c r="I57" s="29">
        <f t="shared" si="9"/>
        <v>19789062.2</v>
      </c>
      <c r="J57" s="29">
        <f>+J40-J55</f>
        <v>19680484</v>
      </c>
      <c r="K57" s="29">
        <f>+K40-K55</f>
        <v>18980901</v>
      </c>
      <c r="L57" s="29">
        <f t="shared" si="9"/>
        <v>17651900.621</v>
      </c>
      <c r="M57" s="29">
        <f t="shared" si="9"/>
        <v>13242462.412999999</v>
      </c>
      <c r="N57" s="29">
        <f>+N40-N55</f>
        <v>13009800.5481</v>
      </c>
      <c r="O57" s="29">
        <f t="shared" si="9"/>
        <v>12906767</v>
      </c>
      <c r="P57" s="29">
        <f>+P40-P55</f>
        <v>12715335.302</v>
      </c>
      <c r="Q57" s="29">
        <f t="shared" si="9"/>
        <v>12011905.132</v>
      </c>
      <c r="R57" s="29">
        <f>+R40-R55</f>
        <v>11770636</v>
      </c>
      <c r="S57" s="29">
        <f t="shared" si="9"/>
        <v>11387964</v>
      </c>
      <c r="T57" s="29">
        <f t="shared" si="9"/>
        <v>11356951.4</v>
      </c>
      <c r="U57" s="29">
        <f t="shared" si="9"/>
        <v>10495947.99</v>
      </c>
      <c r="V57" s="29">
        <f t="shared" si="9"/>
        <v>8261145.30001</v>
      </c>
      <c r="W57" s="29">
        <f t="shared" si="9"/>
        <v>7824992</v>
      </c>
      <c r="X57" s="29">
        <f t="shared" si="9"/>
        <v>6769008.6</v>
      </c>
      <c r="Y57" s="29">
        <f t="shared" si="9"/>
        <v>6712215.9180000005</v>
      </c>
      <c r="Z57" s="29">
        <f>+Z40-Z55</f>
        <v>5928452.039</v>
      </c>
      <c r="AA57" s="29">
        <f t="shared" si="9"/>
        <v>5461015.597999999</v>
      </c>
      <c r="AB57" s="29">
        <f>+AB40-AB55</f>
        <v>4830217</v>
      </c>
      <c r="AC57" s="29">
        <f>+AC40-AC55</f>
        <v>3747214.9</v>
      </c>
      <c r="AD57" s="29">
        <f t="shared" si="9"/>
        <v>3549915</v>
      </c>
      <c r="AE57" s="29">
        <f t="shared" si="9"/>
        <v>2711576</v>
      </c>
      <c r="AF57" s="29">
        <f t="shared" si="9"/>
        <v>2626241</v>
      </c>
      <c r="AG57" s="29">
        <f t="shared" si="9"/>
        <v>2385923.8600000003</v>
      </c>
      <c r="AH57" s="29">
        <f t="shared" si="9"/>
        <v>2108793</v>
      </c>
      <c r="AI57" s="29">
        <f t="shared" si="9"/>
        <v>2003247.1639999999</v>
      </c>
      <c r="AJ57" s="29">
        <f t="shared" si="9"/>
        <v>1408018.796</v>
      </c>
      <c r="AK57" s="29">
        <f t="shared" si="9"/>
        <v>1345421</v>
      </c>
      <c r="AL57" s="29">
        <f>+AL40-AL55</f>
        <v>1319620</v>
      </c>
      <c r="AM57" s="29">
        <f t="shared" si="9"/>
        <v>1308119.371</v>
      </c>
      <c r="AN57" s="29">
        <f t="shared" si="9"/>
        <v>1250537</v>
      </c>
      <c r="AO57" s="29">
        <f t="shared" si="9"/>
        <v>1102855</v>
      </c>
      <c r="AP57" s="29">
        <f t="shared" si="9"/>
        <v>795606</v>
      </c>
      <c r="AQ57" s="29">
        <f t="shared" si="9"/>
        <v>630416</v>
      </c>
      <c r="AR57" s="29">
        <f t="shared" si="9"/>
        <v>580017.6379999999</v>
      </c>
      <c r="AS57" s="29">
        <f t="shared" si="9"/>
        <v>493543</v>
      </c>
      <c r="AT57" s="29">
        <f t="shared" si="9"/>
        <v>469999</v>
      </c>
      <c r="AU57" s="29">
        <f t="shared" si="9"/>
        <v>446348.80000000005</v>
      </c>
      <c r="AV57" s="29">
        <f t="shared" si="9"/>
        <v>343673</v>
      </c>
      <c r="AW57" s="29">
        <f t="shared" si="9"/>
        <v>186416</v>
      </c>
      <c r="AX57" s="29">
        <f t="shared" si="9"/>
        <v>104162</v>
      </c>
      <c r="AY57" s="29">
        <f t="shared" si="9"/>
        <v>39838.293999999994</v>
      </c>
      <c r="AZ57" s="29">
        <f t="shared" si="9"/>
        <v>8860.849</v>
      </c>
      <c r="BA57" s="29"/>
      <c r="BB57" s="29">
        <f t="shared" si="0"/>
        <v>678930720.50511</v>
      </c>
    </row>
    <row r="58" ht="12" customHeight="1">
      <c r="BB58" s="29"/>
    </row>
    <row r="59" ht="12.75">
      <c r="A59" s="34"/>
    </row>
    <row r="60" ht="12.75" hidden="1">
      <c r="A60" s="253"/>
    </row>
    <row r="61" spans="1:79" ht="12.75">
      <c r="A61" s="253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</row>
    <row r="62" ht="12.75">
      <c r="A62" s="253"/>
    </row>
    <row r="63" ht="12.75">
      <c r="A63" s="253"/>
    </row>
    <row r="64" ht="12.75">
      <c r="A64" s="253"/>
    </row>
    <row r="65" ht="12.75">
      <c r="A65" s="253"/>
    </row>
  </sheetData>
  <printOptions/>
  <pageMargins left="0.3937007874015748" right="0.1968503937007874" top="0.984251968503937" bottom="0.4724409448818898" header="0.3937007874015748" footer="0.31496062992125984"/>
  <pageSetup firstPageNumber="19" useFirstPageNumber="1" horizontalDpi="600" verticalDpi="600" orientation="portrait" paperSize="9" r:id="rId1"/>
  <headerFooter alignWithMargins="0">
    <oddHeader>&amp;C&amp;"Times New Roman,Bold"&amp;14 3.2. BALANCE SHEETS 31.12.2002</oddHeader>
    <oddFooter>&amp;R&amp;"Times New Roman,Regular"&amp;P</oddFooter>
  </headerFooter>
  <colBreaks count="2" manualBreakCount="2">
    <brk id="13" max="56" man="1"/>
    <brk id="19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SheetLayoutView="100" workbookViewId="0" topLeftCell="A1">
      <pane xSplit="1" ySplit="4" topLeftCell="BA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B3" sqref="BB3"/>
    </sheetView>
  </sheetViews>
  <sheetFormatPr defaultColWidth="9.140625" defaultRowHeight="12.75"/>
  <cols>
    <col min="1" max="1" width="37.28125" style="33" customWidth="1"/>
    <col min="2" max="3" width="9.8515625" style="42" customWidth="1"/>
    <col min="4" max="4" width="9.8515625" style="110" customWidth="1"/>
    <col min="5" max="8" width="9.8515625" style="42" customWidth="1"/>
    <col min="9" max="15" width="9.7109375" style="42" customWidth="1"/>
    <col min="16" max="22" width="9.8515625" style="42" customWidth="1"/>
    <col min="23" max="23" width="9.57421875" style="42" customWidth="1"/>
    <col min="24" max="24" width="10.421875" style="42" customWidth="1"/>
    <col min="25" max="29" width="9.57421875" style="42" customWidth="1"/>
    <col min="30" max="36" width="10.00390625" style="42" customWidth="1"/>
    <col min="37" max="40" width="10.28125" style="42" customWidth="1"/>
    <col min="41" max="41" width="10.00390625" style="42" customWidth="1"/>
    <col min="42" max="42" width="9.140625" style="42" bestFit="1" customWidth="1"/>
    <col min="43" max="43" width="10.7109375" style="42" bestFit="1" customWidth="1"/>
    <col min="44" max="45" width="10.28125" style="42" customWidth="1"/>
    <col min="46" max="47" width="10.00390625" style="42" customWidth="1"/>
    <col min="48" max="48" width="13.28125" style="42" customWidth="1"/>
    <col min="49" max="49" width="10.140625" style="42" customWidth="1"/>
    <col min="50" max="50" width="10.28125" style="42" customWidth="1"/>
    <col min="51" max="51" width="9.8515625" style="42" customWidth="1"/>
    <col min="52" max="52" width="9.57421875" style="42" customWidth="1"/>
    <col min="53" max="53" width="8.28125" style="42" customWidth="1"/>
    <col min="54" max="54" width="12.00390625" style="42" customWidth="1"/>
    <col min="55" max="55" width="2.00390625" style="42" customWidth="1"/>
    <col min="56" max="56" width="11.140625" style="42" customWidth="1"/>
    <col min="57" max="57" width="12.57421875" style="42" customWidth="1"/>
    <col min="58" max="58" width="3.28125" style="42" customWidth="1"/>
    <col min="59" max="16384" width="9.140625" style="42" customWidth="1"/>
  </cols>
  <sheetData>
    <row r="1" spans="1:58" ht="12.75">
      <c r="A1" s="252"/>
      <c r="B1" s="100" t="s">
        <v>60</v>
      </c>
      <c r="C1" s="100" t="s">
        <v>60</v>
      </c>
      <c r="D1" s="100" t="s">
        <v>60</v>
      </c>
      <c r="E1" s="100" t="s">
        <v>60</v>
      </c>
      <c r="F1" s="100" t="s">
        <v>61</v>
      </c>
      <c r="G1" s="100" t="s">
        <v>60</v>
      </c>
      <c r="H1" s="100" t="s">
        <v>62</v>
      </c>
      <c r="I1" s="100" t="s">
        <v>60</v>
      </c>
      <c r="J1" s="100" t="s">
        <v>64</v>
      </c>
      <c r="K1" s="100" t="s">
        <v>60</v>
      </c>
      <c r="L1" s="100" t="s">
        <v>63</v>
      </c>
      <c r="M1" s="100" t="s">
        <v>60</v>
      </c>
      <c r="N1" s="100" t="s">
        <v>60</v>
      </c>
      <c r="O1" s="100" t="s">
        <v>60</v>
      </c>
      <c r="P1" s="100" t="s">
        <v>65</v>
      </c>
      <c r="Q1" s="100" t="s">
        <v>60</v>
      </c>
      <c r="R1" s="100" t="s">
        <v>60</v>
      </c>
      <c r="S1" s="100" t="s">
        <v>60</v>
      </c>
      <c r="T1" s="100" t="s">
        <v>60</v>
      </c>
      <c r="U1" s="100" t="s">
        <v>60</v>
      </c>
      <c r="V1" s="100" t="s">
        <v>60</v>
      </c>
      <c r="W1" s="100" t="s">
        <v>66</v>
      </c>
      <c r="X1" s="100" t="s">
        <v>60</v>
      </c>
      <c r="Y1" s="100" t="s">
        <v>60</v>
      </c>
      <c r="Z1" s="100" t="s">
        <v>68</v>
      </c>
      <c r="AA1" s="100" t="s">
        <v>60</v>
      </c>
      <c r="AB1" s="100" t="s">
        <v>60</v>
      </c>
      <c r="AC1" s="100" t="s">
        <v>70</v>
      </c>
      <c r="AD1" s="100" t="s">
        <v>60</v>
      </c>
      <c r="AE1" s="100" t="s">
        <v>69</v>
      </c>
      <c r="AF1" s="100" t="s">
        <v>60</v>
      </c>
      <c r="AG1" s="100" t="s">
        <v>60</v>
      </c>
      <c r="AH1" s="100" t="s">
        <v>60</v>
      </c>
      <c r="AI1" s="100" t="s">
        <v>60</v>
      </c>
      <c r="AJ1" s="100" t="s">
        <v>60</v>
      </c>
      <c r="AK1" s="100" t="s">
        <v>69</v>
      </c>
      <c r="AL1" s="100" t="s">
        <v>60</v>
      </c>
      <c r="AM1" s="100" t="s">
        <v>69</v>
      </c>
      <c r="AN1" s="100" t="s">
        <v>60</v>
      </c>
      <c r="AO1" s="100" t="s">
        <v>60</v>
      </c>
      <c r="AP1" s="100" t="s">
        <v>60</v>
      </c>
      <c r="AQ1" s="100" t="s">
        <v>69</v>
      </c>
      <c r="AR1" s="100" t="s">
        <v>69</v>
      </c>
      <c r="AS1" s="100" t="s">
        <v>69</v>
      </c>
      <c r="AT1" s="100" t="s">
        <v>60</v>
      </c>
      <c r="AU1" s="100" t="s">
        <v>67</v>
      </c>
      <c r="AV1" s="100" t="s">
        <v>60</v>
      </c>
      <c r="AW1" s="100" t="s">
        <v>60</v>
      </c>
      <c r="AX1" s="100" t="s">
        <v>69</v>
      </c>
      <c r="AY1" s="100" t="s">
        <v>60</v>
      </c>
      <c r="AZ1" s="100" t="s">
        <v>60</v>
      </c>
      <c r="BA1" s="100"/>
      <c r="BB1" s="100" t="s">
        <v>525</v>
      </c>
      <c r="BC1" s="100"/>
      <c r="BD1" s="100"/>
      <c r="BE1" s="100"/>
      <c r="BF1" s="100"/>
    </row>
    <row r="2" spans="1:58" ht="12.75">
      <c r="A2" s="49" t="s">
        <v>317</v>
      </c>
      <c r="B2" s="100" t="s">
        <v>74</v>
      </c>
      <c r="C2" s="100" t="s">
        <v>73</v>
      </c>
      <c r="D2" s="100" t="s">
        <v>75</v>
      </c>
      <c r="E2" s="100" t="s">
        <v>77</v>
      </c>
      <c r="F2" s="100" t="s">
        <v>76</v>
      </c>
      <c r="G2" s="100" t="s">
        <v>78</v>
      </c>
      <c r="H2" s="100" t="s">
        <v>76</v>
      </c>
      <c r="I2" s="100" t="s">
        <v>79</v>
      </c>
      <c r="J2" s="100" t="s">
        <v>76</v>
      </c>
      <c r="K2" s="100" t="s">
        <v>80</v>
      </c>
      <c r="L2" s="100" t="s">
        <v>76</v>
      </c>
      <c r="M2" s="100" t="s">
        <v>81</v>
      </c>
      <c r="N2" s="100" t="s">
        <v>83</v>
      </c>
      <c r="O2" s="100" t="s">
        <v>82</v>
      </c>
      <c r="P2" s="100" t="s">
        <v>88</v>
      </c>
      <c r="Q2" s="100" t="s">
        <v>86</v>
      </c>
      <c r="R2" s="100" t="s">
        <v>85</v>
      </c>
      <c r="S2" s="100" t="s">
        <v>84</v>
      </c>
      <c r="T2" s="100" t="s">
        <v>87</v>
      </c>
      <c r="U2" s="100" t="s">
        <v>89</v>
      </c>
      <c r="V2" s="100" t="s">
        <v>90</v>
      </c>
      <c r="W2" s="100" t="s">
        <v>91</v>
      </c>
      <c r="X2" s="100" t="s">
        <v>94</v>
      </c>
      <c r="Y2" s="100" t="s">
        <v>93</v>
      </c>
      <c r="Z2" s="100" t="s">
        <v>76</v>
      </c>
      <c r="AA2" s="100" t="s">
        <v>95</v>
      </c>
      <c r="AB2" s="100" t="s">
        <v>93</v>
      </c>
      <c r="AC2" s="100" t="s">
        <v>76</v>
      </c>
      <c r="AD2" s="100" t="s">
        <v>93</v>
      </c>
      <c r="AE2" s="100" t="s">
        <v>93</v>
      </c>
      <c r="AF2" s="100" t="s">
        <v>96</v>
      </c>
      <c r="AG2" s="100" t="s">
        <v>99</v>
      </c>
      <c r="AH2" s="100" t="s">
        <v>97</v>
      </c>
      <c r="AI2" s="100" t="s">
        <v>98</v>
      </c>
      <c r="AJ2" s="100" t="s">
        <v>101</v>
      </c>
      <c r="AK2" s="100" t="s">
        <v>100</v>
      </c>
      <c r="AL2" s="100" t="s">
        <v>104</v>
      </c>
      <c r="AM2" s="100" t="s">
        <v>102</v>
      </c>
      <c r="AN2" s="100" t="s">
        <v>103</v>
      </c>
      <c r="AO2" s="100" t="s">
        <v>105</v>
      </c>
      <c r="AP2" s="100" t="s">
        <v>106</v>
      </c>
      <c r="AQ2" s="100" t="s">
        <v>108</v>
      </c>
      <c r="AR2" s="100" t="s">
        <v>107</v>
      </c>
      <c r="AS2" s="100" t="s">
        <v>109</v>
      </c>
      <c r="AT2" s="100" t="s">
        <v>93</v>
      </c>
      <c r="AU2" s="100" t="s">
        <v>92</v>
      </c>
      <c r="AV2" s="100" t="s">
        <v>278</v>
      </c>
      <c r="AW2" s="100" t="s">
        <v>110</v>
      </c>
      <c r="AX2" s="100" t="s">
        <v>111</v>
      </c>
      <c r="AY2" s="100" t="s">
        <v>112</v>
      </c>
      <c r="AZ2" s="100" t="s">
        <v>113</v>
      </c>
      <c r="BA2" s="100"/>
      <c r="BB2" s="100"/>
      <c r="BC2" s="100"/>
      <c r="BD2" s="100"/>
      <c r="BE2" s="100"/>
      <c r="BF2" s="100"/>
    </row>
    <row r="3" spans="1:58" ht="12.75">
      <c r="A3" s="251"/>
      <c r="B3" s="100" t="s">
        <v>115</v>
      </c>
      <c r="C3" s="100" t="s">
        <v>114</v>
      </c>
      <c r="D3" s="100" t="s">
        <v>55</v>
      </c>
      <c r="E3" s="100" t="s">
        <v>55</v>
      </c>
      <c r="F3" s="100" t="s">
        <v>92</v>
      </c>
      <c r="G3" s="100" t="s">
        <v>118</v>
      </c>
      <c r="H3" s="100" t="s">
        <v>119</v>
      </c>
      <c r="I3" s="100" t="s">
        <v>120</v>
      </c>
      <c r="J3" s="100" t="s">
        <v>92</v>
      </c>
      <c r="K3" s="100" t="s">
        <v>55</v>
      </c>
      <c r="L3" s="100" t="s">
        <v>92</v>
      </c>
      <c r="M3" s="100" t="s">
        <v>118</v>
      </c>
      <c r="N3" s="100" t="s">
        <v>55</v>
      </c>
      <c r="O3" s="100" t="s">
        <v>121</v>
      </c>
      <c r="P3" s="100" t="s">
        <v>125</v>
      </c>
      <c r="Q3" s="100" t="s">
        <v>123</v>
      </c>
      <c r="R3" s="100" t="s">
        <v>122</v>
      </c>
      <c r="S3" s="100" t="s">
        <v>55</v>
      </c>
      <c r="T3" s="100" t="s">
        <v>124</v>
      </c>
      <c r="U3" s="100" t="s">
        <v>126</v>
      </c>
      <c r="V3" s="100" t="s">
        <v>118</v>
      </c>
      <c r="W3" s="100" t="s">
        <v>127</v>
      </c>
      <c r="X3" s="100" t="s">
        <v>129</v>
      </c>
      <c r="Y3" s="100" t="s">
        <v>128</v>
      </c>
      <c r="Z3" s="100" t="s">
        <v>130</v>
      </c>
      <c r="AA3" s="100"/>
      <c r="AB3" s="100" t="s">
        <v>136</v>
      </c>
      <c r="AC3" s="100" t="s">
        <v>92</v>
      </c>
      <c r="AD3" s="100" t="s">
        <v>131</v>
      </c>
      <c r="AE3" s="100" t="s">
        <v>133</v>
      </c>
      <c r="AF3" s="100" t="s">
        <v>132</v>
      </c>
      <c r="AG3" s="100"/>
      <c r="AH3" s="100" t="s">
        <v>134</v>
      </c>
      <c r="AI3" s="100" t="s">
        <v>135</v>
      </c>
      <c r="AJ3" s="100" t="s">
        <v>250</v>
      </c>
      <c r="AK3" s="100" t="s">
        <v>137</v>
      </c>
      <c r="AL3" s="100" t="s">
        <v>140</v>
      </c>
      <c r="AM3" s="100" t="s">
        <v>138</v>
      </c>
      <c r="AN3" s="100" t="s">
        <v>139</v>
      </c>
      <c r="AO3" s="100" t="s">
        <v>141</v>
      </c>
      <c r="AP3" s="100" t="s">
        <v>142</v>
      </c>
      <c r="AQ3" s="100" t="s">
        <v>143</v>
      </c>
      <c r="AR3" s="100" t="s">
        <v>95</v>
      </c>
      <c r="AS3" s="100" t="s">
        <v>144</v>
      </c>
      <c r="AT3" s="100" t="s">
        <v>145</v>
      </c>
      <c r="AU3" s="100" t="s">
        <v>146</v>
      </c>
      <c r="AV3" s="100" t="s">
        <v>277</v>
      </c>
      <c r="AW3" s="100" t="s">
        <v>147</v>
      </c>
      <c r="AX3" s="100" t="s">
        <v>148</v>
      </c>
      <c r="AY3" s="100" t="s">
        <v>149</v>
      </c>
      <c r="AZ3" s="100" t="s">
        <v>150</v>
      </c>
      <c r="BA3" s="100"/>
      <c r="BB3" s="100"/>
      <c r="BC3" s="100"/>
      <c r="BD3" s="100"/>
      <c r="BE3" s="100"/>
      <c r="BF3" s="100"/>
    </row>
    <row r="4" spans="1:57" s="105" customFormat="1" ht="12.75">
      <c r="A4" s="251"/>
      <c r="B4" s="104" t="s">
        <v>233</v>
      </c>
      <c r="C4" s="104" t="s">
        <v>151</v>
      </c>
      <c r="D4" s="104" t="s">
        <v>156</v>
      </c>
      <c r="E4" s="104" t="s">
        <v>157</v>
      </c>
      <c r="F4" s="104" t="s">
        <v>160</v>
      </c>
      <c r="G4" s="104" t="s">
        <v>161</v>
      </c>
      <c r="H4" s="104" t="s">
        <v>162</v>
      </c>
      <c r="I4" s="104" t="s">
        <v>163</v>
      </c>
      <c r="J4" s="104" t="s">
        <v>164</v>
      </c>
      <c r="K4" s="104" t="s">
        <v>165</v>
      </c>
      <c r="L4" s="104" t="s">
        <v>166</v>
      </c>
      <c r="M4" s="104" t="s">
        <v>167</v>
      </c>
      <c r="N4" s="104" t="s">
        <v>168</v>
      </c>
      <c r="O4" s="104" t="s">
        <v>169</v>
      </c>
      <c r="P4" s="104" t="s">
        <v>170</v>
      </c>
      <c r="Q4" s="104" t="s">
        <v>171</v>
      </c>
      <c r="R4" s="104" t="s">
        <v>172</v>
      </c>
      <c r="S4" s="104" t="s">
        <v>173</v>
      </c>
      <c r="T4" s="104" t="s">
        <v>174</v>
      </c>
      <c r="U4" s="104" t="s">
        <v>175</v>
      </c>
      <c r="V4" s="104" t="s">
        <v>176</v>
      </c>
      <c r="W4" s="104" t="s">
        <v>177</v>
      </c>
      <c r="X4" s="104" t="s">
        <v>178</v>
      </c>
      <c r="Y4" s="104" t="s">
        <v>179</v>
      </c>
      <c r="Z4" s="104" t="s">
        <v>180</v>
      </c>
      <c r="AA4" s="104" t="s">
        <v>181</v>
      </c>
      <c r="AB4" s="104" t="s">
        <v>182</v>
      </c>
      <c r="AC4" s="104" t="s">
        <v>183</v>
      </c>
      <c r="AD4" s="104" t="s">
        <v>184</v>
      </c>
      <c r="AE4" s="104" t="s">
        <v>185</v>
      </c>
      <c r="AF4" s="104" t="s">
        <v>186</v>
      </c>
      <c r="AG4" s="104" t="s">
        <v>187</v>
      </c>
      <c r="AH4" s="104" t="s">
        <v>190</v>
      </c>
      <c r="AI4" s="104" t="s">
        <v>191</v>
      </c>
      <c r="AJ4" s="104" t="s">
        <v>192</v>
      </c>
      <c r="AK4" s="104" t="s">
        <v>193</v>
      </c>
      <c r="AL4" s="104" t="s">
        <v>194</v>
      </c>
      <c r="AM4" s="104" t="s">
        <v>196</v>
      </c>
      <c r="AN4" s="104" t="s">
        <v>197</v>
      </c>
      <c r="AO4" s="104" t="s">
        <v>198</v>
      </c>
      <c r="AP4" s="104" t="s">
        <v>199</v>
      </c>
      <c r="AQ4" s="104" t="s">
        <v>200</v>
      </c>
      <c r="AR4" s="104" t="s">
        <v>201</v>
      </c>
      <c r="AS4" s="104" t="s">
        <v>202</v>
      </c>
      <c r="AT4" s="104" t="s">
        <v>203</v>
      </c>
      <c r="AU4" s="104" t="s">
        <v>204</v>
      </c>
      <c r="AV4" s="104" t="s">
        <v>205</v>
      </c>
      <c r="AW4" s="104" t="s">
        <v>206</v>
      </c>
      <c r="AX4" s="104" t="s">
        <v>207</v>
      </c>
      <c r="AY4" s="104" t="s">
        <v>208</v>
      </c>
      <c r="AZ4" s="104" t="s">
        <v>209</v>
      </c>
      <c r="BB4" s="100"/>
      <c r="BC4" s="100"/>
      <c r="BD4" s="100"/>
      <c r="BE4" s="100"/>
    </row>
    <row r="5" spans="2:57" ht="12.75">
      <c r="B5" s="108"/>
      <c r="C5" s="108"/>
      <c r="D5" s="111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7"/>
      <c r="BC5" s="107"/>
      <c r="BD5" s="107"/>
      <c r="BE5" s="107"/>
    </row>
    <row r="6" spans="2:57" ht="12.75">
      <c r="B6" s="108"/>
      <c r="C6" s="108"/>
      <c r="D6" s="111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7"/>
      <c r="BC6" s="107"/>
      <c r="BD6" s="107"/>
      <c r="BE6" s="107"/>
    </row>
    <row r="7" spans="1:58" ht="12.75">
      <c r="A7" s="246" t="s">
        <v>408</v>
      </c>
      <c r="B7" s="29"/>
      <c r="C7" s="29"/>
      <c r="D7" s="94"/>
      <c r="E7" s="29"/>
      <c r="F7" s="29"/>
      <c r="G7" s="29"/>
      <c r="H7" s="29"/>
      <c r="I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</row>
    <row r="8" spans="1:58" ht="12.75">
      <c r="A8" s="247" t="s">
        <v>409</v>
      </c>
      <c r="B8" s="30">
        <v>23778231.924000002</v>
      </c>
      <c r="C8" s="30">
        <v>7356355</v>
      </c>
      <c r="D8" s="30">
        <v>3017512.757</v>
      </c>
      <c r="E8" s="30">
        <v>2204058</v>
      </c>
      <c r="F8" s="30">
        <v>2895896</v>
      </c>
      <c r="G8" s="30">
        <v>1672928</v>
      </c>
      <c r="H8" s="30">
        <v>1360924</v>
      </c>
      <c r="I8" s="30">
        <v>806403</v>
      </c>
      <c r="J8" s="30">
        <v>2952199</v>
      </c>
      <c r="K8" s="30">
        <v>1473495</v>
      </c>
      <c r="L8" s="30">
        <v>749889</v>
      </c>
      <c r="M8" s="30">
        <v>933491.908</v>
      </c>
      <c r="N8" s="30">
        <v>755804</v>
      </c>
      <c r="O8" s="30">
        <v>554916</v>
      </c>
      <c r="P8" s="30">
        <v>2344500.663</v>
      </c>
      <c r="Q8" s="30">
        <v>1212216.406</v>
      </c>
      <c r="R8" s="30">
        <v>800823</v>
      </c>
      <c r="S8" s="30">
        <v>406213</v>
      </c>
      <c r="T8" s="30">
        <v>529912.6</v>
      </c>
      <c r="U8" s="30">
        <v>1579555</v>
      </c>
      <c r="V8" s="30">
        <v>468795</v>
      </c>
      <c r="W8" s="30">
        <v>413153</v>
      </c>
      <c r="X8" s="30">
        <v>570588</v>
      </c>
      <c r="Y8" s="30">
        <v>114182.541</v>
      </c>
      <c r="Z8" s="30">
        <v>1094809.107</v>
      </c>
      <c r="AA8" s="30">
        <v>323142.258</v>
      </c>
      <c r="AB8" s="30">
        <v>1746572</v>
      </c>
      <c r="AC8" s="30">
        <v>2099517</v>
      </c>
      <c r="AD8" s="30">
        <v>958780</v>
      </c>
      <c r="AE8" s="30">
        <v>232126</v>
      </c>
      <c r="AF8" s="30">
        <v>-643</v>
      </c>
      <c r="AG8" s="30">
        <v>110166.2</v>
      </c>
      <c r="AH8" s="30">
        <v>0</v>
      </c>
      <c r="AI8" s="30">
        <v>79814.191</v>
      </c>
      <c r="AJ8" s="30">
        <v>83794.582</v>
      </c>
      <c r="AK8" s="30">
        <v>0</v>
      </c>
      <c r="AL8" s="30">
        <v>73179</v>
      </c>
      <c r="AM8" s="30">
        <v>66880.954</v>
      </c>
      <c r="AN8" s="30">
        <v>11678</v>
      </c>
      <c r="AO8" s="30">
        <v>125349</v>
      </c>
      <c r="AP8" s="30">
        <v>18482</v>
      </c>
      <c r="AQ8" s="30">
        <v>0</v>
      </c>
      <c r="AR8" s="30">
        <v>0</v>
      </c>
      <c r="AS8" s="30">
        <v>28696</v>
      </c>
      <c r="AT8" s="30">
        <v>1494</v>
      </c>
      <c r="AU8" s="30">
        <v>0</v>
      </c>
      <c r="AV8" s="30">
        <v>26815</v>
      </c>
      <c r="AW8" s="30">
        <v>19273</v>
      </c>
      <c r="AX8" s="30">
        <v>0</v>
      </c>
      <c r="AY8" s="30">
        <v>28321.09</v>
      </c>
      <c r="AZ8" s="30">
        <v>0</v>
      </c>
      <c r="BA8" s="30"/>
      <c r="BB8" s="29">
        <f>SUM(B8:AZ8)</f>
        <v>66080289.181000024</v>
      </c>
      <c r="BC8" s="29"/>
      <c r="BD8" s="29"/>
      <c r="BE8" s="29"/>
      <c r="BF8" s="30"/>
    </row>
    <row r="9" spans="1:58" ht="12.75">
      <c r="A9" s="247" t="s">
        <v>410</v>
      </c>
      <c r="B9" s="30">
        <v>5415861.805</v>
      </c>
      <c r="C9" s="30">
        <v>5486026</v>
      </c>
      <c r="D9" s="30">
        <v>2092231.452</v>
      </c>
      <c r="E9" s="30">
        <v>1913430</v>
      </c>
      <c r="F9" s="30">
        <v>1904474</v>
      </c>
      <c r="G9" s="30">
        <v>-86663</v>
      </c>
      <c r="H9" s="30">
        <v>968501</v>
      </c>
      <c r="I9" s="30">
        <v>345162</v>
      </c>
      <c r="J9" s="30">
        <v>228945</v>
      </c>
      <c r="K9" s="30">
        <v>328335</v>
      </c>
      <c r="L9" s="30">
        <v>1051136</v>
      </c>
      <c r="M9" s="30">
        <v>75596.251</v>
      </c>
      <c r="N9" s="30">
        <v>405058</v>
      </c>
      <c r="O9" s="30">
        <v>586058</v>
      </c>
      <c r="P9" s="30">
        <v>162851.177</v>
      </c>
      <c r="Q9" s="30">
        <v>467815.717</v>
      </c>
      <c r="R9" s="30">
        <v>294858</v>
      </c>
      <c r="S9" s="30">
        <v>600955</v>
      </c>
      <c r="T9" s="30">
        <v>221541.5</v>
      </c>
      <c r="U9" s="30">
        <v>470326</v>
      </c>
      <c r="V9" s="30">
        <v>300394</v>
      </c>
      <c r="W9" s="30">
        <v>260040</v>
      </c>
      <c r="X9" s="30">
        <v>156580</v>
      </c>
      <c r="Y9" s="30">
        <v>456066.807</v>
      </c>
      <c r="Z9" s="30">
        <v>92230.552</v>
      </c>
      <c r="AA9" s="30">
        <v>148795.808</v>
      </c>
      <c r="AB9" s="30">
        <v>108927</v>
      </c>
      <c r="AC9" s="30">
        <v>53597</v>
      </c>
      <c r="AD9" s="30">
        <v>175404</v>
      </c>
      <c r="AE9" s="30">
        <v>32814</v>
      </c>
      <c r="AF9" s="30">
        <v>11876</v>
      </c>
      <c r="AG9" s="30">
        <v>142768.3</v>
      </c>
      <c r="AH9" s="30">
        <v>66824</v>
      </c>
      <c r="AI9" s="30">
        <v>66110.395</v>
      </c>
      <c r="AJ9" s="30">
        <v>61848.7</v>
      </c>
      <c r="AK9" s="30">
        <v>17500</v>
      </c>
      <c r="AL9" s="30">
        <v>28603</v>
      </c>
      <c r="AM9" s="30">
        <v>55337.645</v>
      </c>
      <c r="AN9" s="30">
        <v>27531</v>
      </c>
      <c r="AO9" s="30">
        <v>63529</v>
      </c>
      <c r="AP9" s="30">
        <v>42869</v>
      </c>
      <c r="AQ9" s="30">
        <v>26729</v>
      </c>
      <c r="AR9" s="29">
        <v>7450.404</v>
      </c>
      <c r="AS9" s="30">
        <v>36458</v>
      </c>
      <c r="AT9" s="30">
        <v>15018</v>
      </c>
      <c r="AU9" s="30">
        <v>31019</v>
      </c>
      <c r="AV9" s="30">
        <v>15549</v>
      </c>
      <c r="AW9" s="30">
        <v>7838</v>
      </c>
      <c r="AX9" s="30">
        <v>4574</v>
      </c>
      <c r="AY9" s="30">
        <v>3701.656</v>
      </c>
      <c r="AZ9" s="30">
        <v>130.579</v>
      </c>
      <c r="BA9" s="30"/>
      <c r="BB9" s="29">
        <f aca="true" t="shared" si="0" ref="BB9:BB44">SUM(B9:AZ9)</f>
        <v>25450612.747999996</v>
      </c>
      <c r="BC9" s="29"/>
      <c r="BD9" s="29"/>
      <c r="BE9" s="29"/>
      <c r="BF9" s="30"/>
    </row>
    <row r="10" spans="1:58" ht="12.75">
      <c r="A10" s="247" t="s">
        <v>411</v>
      </c>
      <c r="B10" s="30">
        <v>0</v>
      </c>
      <c r="C10" s="30">
        <v>0</v>
      </c>
      <c r="D10" s="30">
        <v>28241.702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2106.704</v>
      </c>
      <c r="R10" s="30">
        <v>4807</v>
      </c>
      <c r="S10" s="30">
        <v>72655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728</v>
      </c>
      <c r="AD10" s="30">
        <v>0</v>
      </c>
      <c r="AE10" s="30">
        <v>0</v>
      </c>
      <c r="AF10" s="30">
        <v>0</v>
      </c>
      <c r="AG10" s="30">
        <v>1075.2</v>
      </c>
      <c r="AH10" s="30">
        <v>0</v>
      </c>
      <c r="AI10" s="30">
        <v>831.609</v>
      </c>
      <c r="AJ10" s="30">
        <v>6296.691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29">
        <v>0</v>
      </c>
      <c r="AS10" s="29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129463</v>
      </c>
      <c r="AY10" s="30">
        <v>0</v>
      </c>
      <c r="AZ10" s="30">
        <v>0</v>
      </c>
      <c r="BA10" s="30"/>
      <c r="BB10" s="29">
        <f t="shared" si="0"/>
        <v>246204.90600000002</v>
      </c>
      <c r="BC10" s="29"/>
      <c r="BD10" s="29"/>
      <c r="BE10" s="29"/>
      <c r="BF10" s="30"/>
    </row>
    <row r="11" spans="1:58" ht="12.75">
      <c r="A11" s="247" t="s">
        <v>412</v>
      </c>
      <c r="B11" s="30">
        <v>3807794.524</v>
      </c>
      <c r="C11" s="30">
        <v>3837129</v>
      </c>
      <c r="D11" s="30">
        <v>3151513.2630000003</v>
      </c>
      <c r="E11" s="30">
        <v>2586605</v>
      </c>
      <c r="F11" s="30">
        <v>3362295</v>
      </c>
      <c r="G11" s="30">
        <v>1158067</v>
      </c>
      <c r="H11" s="30">
        <v>1129523</v>
      </c>
      <c r="I11" s="30">
        <v>519989</v>
      </c>
      <c r="J11" s="30">
        <v>769032</v>
      </c>
      <c r="K11" s="30">
        <v>1069939</v>
      </c>
      <c r="L11" s="30">
        <v>920640</v>
      </c>
      <c r="M11" s="30">
        <v>803853.434</v>
      </c>
      <c r="N11" s="30">
        <v>430981</v>
      </c>
      <c r="O11" s="30">
        <v>637681</v>
      </c>
      <c r="P11" s="30">
        <v>220388.992</v>
      </c>
      <c r="Q11" s="30">
        <v>313688.699</v>
      </c>
      <c r="R11" s="30">
        <v>758165</v>
      </c>
      <c r="S11" s="30">
        <v>697835</v>
      </c>
      <c r="T11" s="30">
        <v>478881.7</v>
      </c>
      <c r="U11" s="30">
        <v>559688</v>
      </c>
      <c r="V11" s="30">
        <v>544944</v>
      </c>
      <c r="W11" s="30">
        <v>150116</v>
      </c>
      <c r="X11" s="30">
        <v>132816</v>
      </c>
      <c r="Y11" s="30">
        <v>279358.073</v>
      </c>
      <c r="Z11" s="30">
        <v>19831.384</v>
      </c>
      <c r="AA11" s="30">
        <v>246196.611</v>
      </c>
      <c r="AB11" s="30">
        <v>121345</v>
      </c>
      <c r="AC11" s="30">
        <v>34753</v>
      </c>
      <c r="AD11" s="30">
        <v>284040</v>
      </c>
      <c r="AE11" s="30">
        <v>22985</v>
      </c>
      <c r="AF11" s="30">
        <v>250571</v>
      </c>
      <c r="AG11" s="30">
        <v>54515</v>
      </c>
      <c r="AH11" s="30">
        <v>58874</v>
      </c>
      <c r="AI11" s="30">
        <v>241689.392</v>
      </c>
      <c r="AJ11" s="30">
        <v>89060.048</v>
      </c>
      <c r="AK11" s="30">
        <v>82511</v>
      </c>
      <c r="AL11" s="30">
        <v>18280</v>
      </c>
      <c r="AM11" s="30">
        <v>94833.161</v>
      </c>
      <c r="AN11" s="30">
        <v>56183</v>
      </c>
      <c r="AO11" s="30">
        <v>61737</v>
      </c>
      <c r="AP11" s="30">
        <v>34143</v>
      </c>
      <c r="AQ11" s="30">
        <v>24842</v>
      </c>
      <c r="AR11" s="29">
        <v>66913.387</v>
      </c>
      <c r="AS11" s="30">
        <v>19382</v>
      </c>
      <c r="AT11" s="30">
        <v>11713</v>
      </c>
      <c r="AU11" s="30">
        <v>40578</v>
      </c>
      <c r="AV11" s="30">
        <v>25851</v>
      </c>
      <c r="AW11" s="30">
        <v>10633</v>
      </c>
      <c r="AX11" s="30">
        <v>11872</v>
      </c>
      <c r="AY11" s="30">
        <v>3349.499</v>
      </c>
      <c r="AZ11" s="30">
        <v>0</v>
      </c>
      <c r="BA11" s="30"/>
      <c r="BB11" s="29">
        <f t="shared" si="0"/>
        <v>30307605.167</v>
      </c>
      <c r="BC11" s="29"/>
      <c r="BD11" s="29"/>
      <c r="BE11" s="29"/>
      <c r="BF11" s="30"/>
    </row>
    <row r="12" spans="1:58" ht="12.75">
      <c r="A12" s="247" t="s">
        <v>413</v>
      </c>
      <c r="B12" s="30">
        <v>11952109.689</v>
      </c>
      <c r="C12" s="30">
        <v>5287412</v>
      </c>
      <c r="D12" s="30">
        <v>3632815.995</v>
      </c>
      <c r="E12" s="30">
        <v>2442046</v>
      </c>
      <c r="F12" s="30">
        <v>4677884</v>
      </c>
      <c r="G12" s="30">
        <v>6651191</v>
      </c>
      <c r="H12" s="30">
        <v>330930</v>
      </c>
      <c r="I12" s="30">
        <v>12391627</v>
      </c>
      <c r="J12" s="30">
        <v>22437572</v>
      </c>
      <c r="K12" s="30">
        <v>1671019</v>
      </c>
      <c r="L12" s="30">
        <v>2530481</v>
      </c>
      <c r="M12" s="30">
        <v>12708080.25</v>
      </c>
      <c r="N12" s="30">
        <v>426468</v>
      </c>
      <c r="O12" s="30">
        <v>973156</v>
      </c>
      <c r="P12" s="30">
        <v>2670198.766</v>
      </c>
      <c r="Q12" s="30">
        <v>0</v>
      </c>
      <c r="R12" s="30">
        <v>4629040</v>
      </c>
      <c r="S12" s="30">
        <v>6532483</v>
      </c>
      <c r="T12" s="30">
        <v>619009.8</v>
      </c>
      <c r="U12" s="30">
        <v>1091765</v>
      </c>
      <c r="V12" s="30">
        <v>697547</v>
      </c>
      <c r="W12" s="30">
        <v>5282175</v>
      </c>
      <c r="X12" s="30">
        <v>786874</v>
      </c>
      <c r="Y12" s="30">
        <v>0</v>
      </c>
      <c r="Z12" s="30">
        <v>6146383.035</v>
      </c>
      <c r="AA12" s="30">
        <v>1170304.623</v>
      </c>
      <c r="AB12" s="30">
        <v>2637198</v>
      </c>
      <c r="AC12" s="30">
        <v>582163</v>
      </c>
      <c r="AD12" s="30">
        <v>345607</v>
      </c>
      <c r="AE12" s="30">
        <v>868946</v>
      </c>
      <c r="AF12" s="30">
        <v>9500</v>
      </c>
      <c r="AG12" s="30">
        <v>0</v>
      </c>
      <c r="AH12" s="30">
        <v>1261886</v>
      </c>
      <c r="AI12" s="30">
        <v>646023.934</v>
      </c>
      <c r="AJ12" s="30">
        <v>146598.508</v>
      </c>
      <c r="AK12" s="30">
        <v>1690012</v>
      </c>
      <c r="AL12" s="30">
        <v>1009340</v>
      </c>
      <c r="AM12" s="30">
        <v>0</v>
      </c>
      <c r="AN12" s="30">
        <v>521100</v>
      </c>
      <c r="AO12" s="30">
        <v>144700</v>
      </c>
      <c r="AP12" s="30">
        <v>471903</v>
      </c>
      <c r="AQ12" s="30">
        <v>286262</v>
      </c>
      <c r="AR12" s="29">
        <v>506345.165</v>
      </c>
      <c r="AS12" s="30">
        <v>350539</v>
      </c>
      <c r="AT12" s="30">
        <v>453886</v>
      </c>
      <c r="AU12" s="30">
        <v>0</v>
      </c>
      <c r="AV12" s="30">
        <v>18501</v>
      </c>
      <c r="AW12" s="30">
        <v>22220</v>
      </c>
      <c r="AX12" s="30">
        <v>0</v>
      </c>
      <c r="AY12" s="30">
        <v>0</v>
      </c>
      <c r="AZ12" s="30">
        <v>0</v>
      </c>
      <c r="BA12" s="30"/>
      <c r="BB12" s="29">
        <f t="shared" si="0"/>
        <v>129711302.765</v>
      </c>
      <c r="BC12" s="29"/>
      <c r="BD12" s="29"/>
      <c r="BE12" s="29"/>
      <c r="BF12" s="30"/>
    </row>
    <row r="13" spans="1:58" ht="12.75">
      <c r="A13" s="247" t="s">
        <v>414</v>
      </c>
      <c r="B13" s="30">
        <v>4258767.19</v>
      </c>
      <c r="C13" s="30">
        <v>1129925</v>
      </c>
      <c r="D13" s="30">
        <v>1641402.906</v>
      </c>
      <c r="E13" s="30">
        <v>397253</v>
      </c>
      <c r="F13" s="30">
        <v>1489821</v>
      </c>
      <c r="G13" s="30">
        <v>6786554</v>
      </c>
      <c r="H13" s="30">
        <v>66189</v>
      </c>
      <c r="I13" s="30">
        <v>1568159</v>
      </c>
      <c r="J13" s="30">
        <v>2356485</v>
      </c>
      <c r="K13" s="30">
        <v>298729</v>
      </c>
      <c r="L13" s="30">
        <v>0</v>
      </c>
      <c r="M13" s="30">
        <v>1194977.262</v>
      </c>
      <c r="N13" s="30">
        <v>0</v>
      </c>
      <c r="O13" s="30">
        <v>1033775</v>
      </c>
      <c r="P13" s="30">
        <v>0</v>
      </c>
      <c r="Q13" s="30">
        <v>0</v>
      </c>
      <c r="R13" s="30">
        <v>119385</v>
      </c>
      <c r="S13" s="30">
        <v>800257</v>
      </c>
      <c r="T13" s="30">
        <v>45291.9</v>
      </c>
      <c r="U13" s="30">
        <v>213629</v>
      </c>
      <c r="V13" s="30">
        <v>0</v>
      </c>
      <c r="W13" s="30">
        <v>892675</v>
      </c>
      <c r="X13" s="30">
        <v>0</v>
      </c>
      <c r="Y13" s="30">
        <v>57062.7</v>
      </c>
      <c r="Z13" s="30">
        <v>0</v>
      </c>
      <c r="AA13" s="30">
        <v>128791.131</v>
      </c>
      <c r="AB13" s="30">
        <v>54393</v>
      </c>
      <c r="AC13" s="30">
        <v>1360932</v>
      </c>
      <c r="AD13" s="30">
        <v>33004</v>
      </c>
      <c r="AE13" s="30">
        <v>0</v>
      </c>
      <c r="AF13" s="30">
        <v>287966</v>
      </c>
      <c r="AG13" s="30">
        <v>0</v>
      </c>
      <c r="AH13" s="30">
        <v>102624</v>
      </c>
      <c r="AI13" s="30">
        <v>100034.75</v>
      </c>
      <c r="AJ13" s="30">
        <v>35849.096</v>
      </c>
      <c r="AK13" s="30">
        <v>487104</v>
      </c>
      <c r="AL13" s="30">
        <v>0</v>
      </c>
      <c r="AM13" s="30">
        <v>0</v>
      </c>
      <c r="AN13" s="30">
        <v>8561</v>
      </c>
      <c r="AO13" s="30">
        <v>49005</v>
      </c>
      <c r="AP13" s="30">
        <v>20397</v>
      </c>
      <c r="AQ13" s="30">
        <v>17531</v>
      </c>
      <c r="AR13" s="29">
        <v>153687.106</v>
      </c>
      <c r="AS13" s="30">
        <v>0</v>
      </c>
      <c r="AT13" s="30">
        <v>30937</v>
      </c>
      <c r="AU13" s="30">
        <v>0</v>
      </c>
      <c r="AV13" s="30">
        <v>43494</v>
      </c>
      <c r="AW13" s="30">
        <v>23692</v>
      </c>
      <c r="AX13" s="30">
        <v>0</v>
      </c>
      <c r="AY13" s="30">
        <v>0</v>
      </c>
      <c r="AZ13" s="30">
        <v>2939.971</v>
      </c>
      <c r="BA13" s="30"/>
      <c r="BB13" s="29">
        <f t="shared" si="0"/>
        <v>27291280.012000002</v>
      </c>
      <c r="BC13" s="29"/>
      <c r="BD13" s="29"/>
      <c r="BE13" s="29"/>
      <c r="BF13" s="30"/>
    </row>
    <row r="14" spans="1:58" ht="12.75">
      <c r="A14" s="247" t="s">
        <v>415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89205</v>
      </c>
      <c r="M14" s="30">
        <v>0</v>
      </c>
      <c r="N14" s="30">
        <v>0</v>
      </c>
      <c r="O14" s="30">
        <v>0</v>
      </c>
      <c r="P14" s="30">
        <v>0</v>
      </c>
      <c r="Q14" s="30">
        <v>804752.129</v>
      </c>
      <c r="R14" s="30">
        <v>0</v>
      </c>
      <c r="S14" s="30">
        <v>0</v>
      </c>
      <c r="T14" s="30">
        <v>152635.5</v>
      </c>
      <c r="U14" s="30">
        <v>0</v>
      </c>
      <c r="V14" s="30">
        <v>0</v>
      </c>
      <c r="W14" s="30">
        <v>116245</v>
      </c>
      <c r="X14" s="30">
        <v>0</v>
      </c>
      <c r="Y14" s="30">
        <v>0</v>
      </c>
      <c r="Z14" s="30">
        <v>0</v>
      </c>
      <c r="AA14" s="30">
        <v>75000.1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29">
        <v>0</v>
      </c>
      <c r="AS14" s="29">
        <v>0</v>
      </c>
      <c r="AT14" s="30">
        <v>0</v>
      </c>
      <c r="AU14" s="30">
        <v>0</v>
      </c>
      <c r="AV14" s="30">
        <v>17000</v>
      </c>
      <c r="AW14" s="30">
        <v>10619</v>
      </c>
      <c r="AX14" s="30">
        <v>0</v>
      </c>
      <c r="AY14" s="30">
        <v>0</v>
      </c>
      <c r="AZ14" s="30">
        <v>0</v>
      </c>
      <c r="BA14" s="30"/>
      <c r="BB14" s="29">
        <f t="shared" si="0"/>
        <v>1265456.729</v>
      </c>
      <c r="BC14" s="29"/>
      <c r="BD14" s="29"/>
      <c r="BE14" s="29"/>
      <c r="BF14" s="30"/>
    </row>
    <row r="15" spans="1:58" ht="12.75">
      <c r="A15" s="247" t="s">
        <v>416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48087</v>
      </c>
      <c r="L15" s="30">
        <v>0</v>
      </c>
      <c r="M15" s="30">
        <v>10837.012</v>
      </c>
      <c r="N15" s="30">
        <v>9500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29">
        <v>0</v>
      </c>
      <c r="AS15" s="29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/>
      <c r="BB15" s="29">
        <f t="shared" si="0"/>
        <v>68424.012</v>
      </c>
      <c r="BC15" s="29"/>
      <c r="BD15" s="29"/>
      <c r="BE15" s="29"/>
      <c r="BF15" s="30"/>
    </row>
    <row r="16" spans="1:58" ht="12.75">
      <c r="A16" s="247" t="s">
        <v>417</v>
      </c>
      <c r="B16" s="30">
        <v>0</v>
      </c>
      <c r="C16" s="30">
        <v>131587</v>
      </c>
      <c r="D16" s="30">
        <v>0</v>
      </c>
      <c r="E16" s="30">
        <v>0</v>
      </c>
      <c r="F16" s="30">
        <v>3103010</v>
      </c>
      <c r="G16" s="30">
        <v>296101</v>
      </c>
      <c r="H16" s="30">
        <v>3354</v>
      </c>
      <c r="I16" s="30">
        <v>0</v>
      </c>
      <c r="J16" s="30">
        <v>0</v>
      </c>
      <c r="K16" s="30">
        <v>398713</v>
      </c>
      <c r="L16" s="30">
        <v>6153</v>
      </c>
      <c r="M16" s="30">
        <v>0</v>
      </c>
      <c r="N16" s="30">
        <v>17162</v>
      </c>
      <c r="O16" s="30">
        <v>0</v>
      </c>
      <c r="P16" s="30">
        <v>9406.938</v>
      </c>
      <c r="Q16" s="30">
        <v>10500</v>
      </c>
      <c r="R16" s="30">
        <v>0</v>
      </c>
      <c r="S16" s="30">
        <v>0</v>
      </c>
      <c r="T16" s="30">
        <v>0</v>
      </c>
      <c r="U16" s="30">
        <v>0</v>
      </c>
      <c r="V16" s="30">
        <v>6425</v>
      </c>
      <c r="W16" s="30">
        <v>1061</v>
      </c>
      <c r="X16" s="30">
        <v>158</v>
      </c>
      <c r="Y16" s="30">
        <v>0</v>
      </c>
      <c r="Z16" s="30">
        <v>1524.9009999999935</v>
      </c>
      <c r="AA16" s="30">
        <v>0</v>
      </c>
      <c r="AB16" s="30">
        <v>13174</v>
      </c>
      <c r="AC16" s="30">
        <v>1133</v>
      </c>
      <c r="AD16" s="30">
        <v>0</v>
      </c>
      <c r="AE16" s="30">
        <v>0</v>
      </c>
      <c r="AF16" s="30">
        <v>23665</v>
      </c>
      <c r="AG16" s="30">
        <v>8816.7</v>
      </c>
      <c r="AH16" s="30">
        <v>0</v>
      </c>
      <c r="AI16" s="30">
        <v>0</v>
      </c>
      <c r="AJ16" s="30">
        <v>11994.714</v>
      </c>
      <c r="AK16" s="30">
        <v>0</v>
      </c>
      <c r="AL16" s="30">
        <v>8868</v>
      </c>
      <c r="AM16" s="30">
        <v>-2224.868</v>
      </c>
      <c r="AN16" s="30">
        <f>15+65</f>
        <v>80</v>
      </c>
      <c r="AO16" s="30">
        <v>4364</v>
      </c>
      <c r="AP16" s="30">
        <v>0</v>
      </c>
      <c r="AQ16" s="30">
        <v>0</v>
      </c>
      <c r="AR16" s="29">
        <v>987.964</v>
      </c>
      <c r="AS16" s="29">
        <v>0</v>
      </c>
      <c r="AT16" s="30">
        <v>6498</v>
      </c>
      <c r="AU16" s="30">
        <v>0</v>
      </c>
      <c r="AV16" s="30">
        <v>0</v>
      </c>
      <c r="AW16" s="30">
        <v>0</v>
      </c>
      <c r="AX16" s="30">
        <v>1</v>
      </c>
      <c r="AY16" s="30">
        <v>21865.327</v>
      </c>
      <c r="AZ16" s="30">
        <v>0</v>
      </c>
      <c r="BA16" s="30"/>
      <c r="BB16" s="29">
        <f t="shared" si="0"/>
        <v>4084378.676000001</v>
      </c>
      <c r="BC16" s="29"/>
      <c r="BD16" s="29"/>
      <c r="BE16" s="29"/>
      <c r="BF16" s="30"/>
    </row>
    <row r="17" spans="1:58" ht="13.5">
      <c r="A17" s="256" t="s">
        <v>408</v>
      </c>
      <c r="B17" s="29">
        <f>SUM(B8:B16)</f>
        <v>49212765.132</v>
      </c>
      <c r="C17" s="29">
        <f>SUM(C8:C16)</f>
        <v>23228434</v>
      </c>
      <c r="D17" s="29">
        <f>SUM(D8:D16)</f>
        <v>13563718.075</v>
      </c>
      <c r="E17" s="29">
        <f>SUM(E8:E16)</f>
        <v>9543392</v>
      </c>
      <c r="F17" s="29">
        <f>SUM(F8:F16)+1</f>
        <v>17433381</v>
      </c>
      <c r="G17" s="29">
        <f aca="true" t="shared" si="1" ref="G17:AA17">SUM(G8:G16)</f>
        <v>16478178</v>
      </c>
      <c r="H17" s="29">
        <f t="shared" si="1"/>
        <v>3859421</v>
      </c>
      <c r="I17" s="29">
        <f t="shared" si="1"/>
        <v>15631340</v>
      </c>
      <c r="J17" s="29">
        <f t="shared" si="1"/>
        <v>28744233</v>
      </c>
      <c r="K17" s="29">
        <f t="shared" si="1"/>
        <v>5288317</v>
      </c>
      <c r="L17" s="29">
        <f t="shared" si="1"/>
        <v>5347504</v>
      </c>
      <c r="M17" s="29">
        <f t="shared" si="1"/>
        <v>15726836.117</v>
      </c>
      <c r="N17" s="29">
        <f t="shared" si="1"/>
        <v>2044973</v>
      </c>
      <c r="O17" s="29">
        <f t="shared" si="1"/>
        <v>3785586</v>
      </c>
      <c r="P17" s="29">
        <f t="shared" si="1"/>
        <v>5407346.536</v>
      </c>
      <c r="Q17" s="29">
        <f t="shared" si="1"/>
        <v>2811079.655</v>
      </c>
      <c r="R17" s="29">
        <f t="shared" si="1"/>
        <v>6607078</v>
      </c>
      <c r="S17" s="29">
        <f t="shared" si="1"/>
        <v>9110398</v>
      </c>
      <c r="T17" s="29">
        <f t="shared" si="1"/>
        <v>2047273</v>
      </c>
      <c r="U17" s="29">
        <f t="shared" si="1"/>
        <v>3914963</v>
      </c>
      <c r="V17" s="29">
        <f t="shared" si="1"/>
        <v>2018105</v>
      </c>
      <c r="W17" s="29">
        <f t="shared" si="1"/>
        <v>7115465</v>
      </c>
      <c r="X17" s="29">
        <f t="shared" si="1"/>
        <v>1647016</v>
      </c>
      <c r="Y17" s="29">
        <f t="shared" si="1"/>
        <v>906670.1209999999</v>
      </c>
      <c r="Z17" s="29">
        <f t="shared" si="1"/>
        <v>7354778.978999999</v>
      </c>
      <c r="AA17" s="29">
        <f t="shared" si="1"/>
        <v>2092230.531</v>
      </c>
      <c r="AB17" s="29">
        <v>4681609</v>
      </c>
      <c r="AC17" s="29">
        <v>4132823</v>
      </c>
      <c r="AD17" s="29">
        <f aca="true" t="shared" si="2" ref="AD17:AZ17">SUM(AD8:AD16)</f>
        <v>1796835</v>
      </c>
      <c r="AE17" s="29">
        <f t="shared" si="2"/>
        <v>1156871</v>
      </c>
      <c r="AF17" s="29">
        <f t="shared" si="2"/>
        <v>582935</v>
      </c>
      <c r="AG17" s="29">
        <f t="shared" si="2"/>
        <v>317341.4</v>
      </c>
      <c r="AH17" s="29">
        <f t="shared" si="2"/>
        <v>1490208</v>
      </c>
      <c r="AI17" s="29">
        <f t="shared" si="2"/>
        <v>1134504.271</v>
      </c>
      <c r="AJ17" s="29">
        <f t="shared" si="2"/>
        <v>435442.339</v>
      </c>
      <c r="AK17" s="29">
        <f t="shared" si="2"/>
        <v>2277127</v>
      </c>
      <c r="AL17" s="29">
        <f t="shared" si="2"/>
        <v>1138270</v>
      </c>
      <c r="AM17" s="29">
        <f t="shared" si="2"/>
        <v>214826.892</v>
      </c>
      <c r="AN17" s="29">
        <f t="shared" si="2"/>
        <v>625133</v>
      </c>
      <c r="AO17" s="29">
        <f t="shared" si="2"/>
        <v>448684</v>
      </c>
      <c r="AP17" s="29">
        <f t="shared" si="2"/>
        <v>587794</v>
      </c>
      <c r="AQ17" s="29">
        <f t="shared" si="2"/>
        <v>355364</v>
      </c>
      <c r="AR17" s="29">
        <f t="shared" si="2"/>
        <v>735384.0260000001</v>
      </c>
      <c r="AS17" s="29">
        <f t="shared" si="2"/>
        <v>435075</v>
      </c>
      <c r="AT17" s="29">
        <f t="shared" si="2"/>
        <v>519546</v>
      </c>
      <c r="AU17" s="29">
        <f t="shared" si="2"/>
        <v>71597</v>
      </c>
      <c r="AV17" s="29">
        <f t="shared" si="2"/>
        <v>147210</v>
      </c>
      <c r="AW17" s="29">
        <f t="shared" si="2"/>
        <v>94275</v>
      </c>
      <c r="AX17" s="29">
        <f t="shared" si="2"/>
        <v>145910</v>
      </c>
      <c r="AY17" s="29">
        <f t="shared" si="2"/>
        <v>57237.572</v>
      </c>
      <c r="AZ17" s="29">
        <f t="shared" si="2"/>
        <v>3070.55</v>
      </c>
      <c r="BA17" s="29"/>
      <c r="BB17" s="29">
        <f t="shared" si="0"/>
        <v>284505555.1960001</v>
      </c>
      <c r="BC17" s="29"/>
      <c r="BD17" s="29"/>
      <c r="BE17" s="29"/>
      <c r="BF17" s="30"/>
    </row>
    <row r="18" spans="1:58" ht="8.25" customHeight="1">
      <c r="A18" s="251"/>
      <c r="D18" s="42"/>
      <c r="BB18" s="29"/>
      <c r="BC18" s="29"/>
      <c r="BD18" s="29"/>
      <c r="BE18" s="29"/>
      <c r="BF18" s="30"/>
    </row>
    <row r="19" spans="1:58" ht="12.75">
      <c r="A19" s="246" t="s">
        <v>418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29"/>
      <c r="BC19" s="29"/>
      <c r="BD19" s="29"/>
      <c r="BE19" s="29"/>
      <c r="BF19" s="30"/>
    </row>
    <row r="20" spans="1:58" ht="12.75">
      <c r="A20" s="247" t="s">
        <v>419</v>
      </c>
      <c r="B20" s="30">
        <v>9132370</v>
      </c>
      <c r="C20" s="30">
        <v>2093464</v>
      </c>
      <c r="D20" s="30">
        <v>1952493.69</v>
      </c>
      <c r="E20" s="30">
        <v>1157350</v>
      </c>
      <c r="F20" s="30">
        <v>1456274</v>
      </c>
      <c r="G20" s="30">
        <v>974461</v>
      </c>
      <c r="H20" s="30">
        <v>274904</v>
      </c>
      <c r="I20" s="30">
        <v>586150</v>
      </c>
      <c r="J20" s="30">
        <v>292960</v>
      </c>
      <c r="K20" s="30">
        <v>214485</v>
      </c>
      <c r="L20" s="30">
        <v>789902</v>
      </c>
      <c r="M20" s="30">
        <v>382922.205</v>
      </c>
      <c r="N20" s="30">
        <v>296791</v>
      </c>
      <c r="O20" s="30">
        <v>358307</v>
      </c>
      <c r="P20" s="30">
        <v>171903.914</v>
      </c>
      <c r="Q20" s="30">
        <v>125447.373</v>
      </c>
      <c r="R20" s="30">
        <v>474971</v>
      </c>
      <c r="S20" s="30">
        <v>631086</v>
      </c>
      <c r="T20" s="30">
        <v>282880.9</v>
      </c>
      <c r="U20" s="30">
        <v>574462</v>
      </c>
      <c r="V20" s="30">
        <v>282651</v>
      </c>
      <c r="W20" s="30">
        <v>273494</v>
      </c>
      <c r="X20" s="30">
        <v>44175</v>
      </c>
      <c r="Y20" s="30">
        <v>226918.277</v>
      </c>
      <c r="Z20" s="30">
        <v>88841.927</v>
      </c>
      <c r="AA20" s="30">
        <v>167160.569</v>
      </c>
      <c r="AB20" s="30">
        <v>17226</v>
      </c>
      <c r="AC20" s="30">
        <v>23600</v>
      </c>
      <c r="AD20" s="30">
        <f>1145674</f>
        <v>1145674</v>
      </c>
      <c r="AE20" s="30">
        <v>81380</v>
      </c>
      <c r="AF20" s="30">
        <v>146690</v>
      </c>
      <c r="AG20" s="30">
        <v>56826</v>
      </c>
      <c r="AH20" s="30">
        <v>92867</v>
      </c>
      <c r="AI20" s="30">
        <v>54156.513</v>
      </c>
      <c r="AJ20" s="30">
        <v>75810.078</v>
      </c>
      <c r="AK20" s="30">
        <v>45467</v>
      </c>
      <c r="AL20" s="30">
        <v>14374</v>
      </c>
      <c r="AM20" s="30">
        <v>53264.374</v>
      </c>
      <c r="AN20" s="30">
        <v>78097</v>
      </c>
      <c r="AO20" s="30">
        <v>152748</v>
      </c>
      <c r="AP20" s="30">
        <v>51148</v>
      </c>
      <c r="AQ20" s="30">
        <v>36962</v>
      </c>
      <c r="AR20" s="29">
        <v>41832.814</v>
      </c>
      <c r="AS20" s="30">
        <v>30716</v>
      </c>
      <c r="AT20" s="30">
        <v>38184</v>
      </c>
      <c r="AU20" s="30">
        <v>36849</v>
      </c>
      <c r="AV20" s="30">
        <v>31063</v>
      </c>
      <c r="AW20" s="30">
        <v>24768</v>
      </c>
      <c r="AX20" s="30">
        <v>133093</v>
      </c>
      <c r="AY20" s="30">
        <v>52206.603</v>
      </c>
      <c r="AZ20" s="30">
        <v>1183.052</v>
      </c>
      <c r="BA20" s="30"/>
      <c r="BB20" s="29">
        <f t="shared" si="0"/>
        <v>25823011.288999997</v>
      </c>
      <c r="BC20" s="29"/>
      <c r="BD20" s="29"/>
      <c r="BE20" s="29"/>
      <c r="BF20" s="30"/>
    </row>
    <row r="21" spans="1:58" ht="12.75">
      <c r="A21" s="247" t="s">
        <v>420</v>
      </c>
      <c r="B21" s="30">
        <v>122357</v>
      </c>
      <c r="C21" s="30">
        <v>111750</v>
      </c>
      <c r="D21" s="30">
        <v>50359.206999999995</v>
      </c>
      <c r="E21" s="30">
        <v>24054</v>
      </c>
      <c r="F21" s="30">
        <v>90011</v>
      </c>
      <c r="G21" s="30">
        <v>22413</v>
      </c>
      <c r="H21" s="30">
        <v>21325</v>
      </c>
      <c r="I21" s="30">
        <v>5924</v>
      </c>
      <c r="J21" s="30">
        <v>89462</v>
      </c>
      <c r="K21" s="30">
        <v>38447</v>
      </c>
      <c r="L21" s="30">
        <v>41299</v>
      </c>
      <c r="M21" s="30">
        <v>23788.547</v>
      </c>
      <c r="N21" s="30">
        <v>6567</v>
      </c>
      <c r="O21" s="30">
        <v>18215</v>
      </c>
      <c r="P21" s="30">
        <v>220.092</v>
      </c>
      <c r="Q21" s="30">
        <v>27566.333</v>
      </c>
      <c r="R21" s="30">
        <v>721</v>
      </c>
      <c r="S21" s="30">
        <v>18464</v>
      </c>
      <c r="T21" s="30">
        <v>14940</v>
      </c>
      <c r="U21" s="30">
        <v>12962</v>
      </c>
      <c r="V21" s="30">
        <v>15022</v>
      </c>
      <c r="W21" s="30">
        <v>38</v>
      </c>
      <c r="X21" s="30">
        <v>1534</v>
      </c>
      <c r="Y21" s="30">
        <v>3511.702</v>
      </c>
      <c r="Z21" s="30">
        <v>20918.333000000002</v>
      </c>
      <c r="AA21" s="30">
        <v>13084.226</v>
      </c>
      <c r="AB21" s="30">
        <v>4776</v>
      </c>
      <c r="AC21" s="30">
        <v>7251</v>
      </c>
      <c r="AD21" s="30">
        <v>0</v>
      </c>
      <c r="AE21" s="30">
        <v>1198</v>
      </c>
      <c r="AF21" s="30">
        <v>1022</v>
      </c>
      <c r="AG21" s="30">
        <v>6392.1</v>
      </c>
      <c r="AH21" s="30">
        <v>1317</v>
      </c>
      <c r="AI21" s="30">
        <v>0</v>
      </c>
      <c r="AJ21" s="30">
        <v>995.2</v>
      </c>
      <c r="AK21" s="30">
        <v>0</v>
      </c>
      <c r="AL21" s="30">
        <v>1753</v>
      </c>
      <c r="AM21" s="30">
        <v>1509.644</v>
      </c>
      <c r="AN21" s="30">
        <v>723</v>
      </c>
      <c r="AO21" s="30">
        <v>1109</v>
      </c>
      <c r="AP21" s="30">
        <v>7353</v>
      </c>
      <c r="AQ21" s="30">
        <v>148</v>
      </c>
      <c r="AR21" s="29">
        <v>105.656</v>
      </c>
      <c r="AS21" s="30">
        <v>107</v>
      </c>
      <c r="AT21" s="30">
        <v>374</v>
      </c>
      <c r="AU21" s="30">
        <v>0</v>
      </c>
      <c r="AV21" s="30">
        <v>0</v>
      </c>
      <c r="AW21" s="30">
        <v>1327</v>
      </c>
      <c r="AX21" s="30">
        <v>1</v>
      </c>
      <c r="AY21" s="30">
        <v>0</v>
      </c>
      <c r="AZ21" s="30">
        <v>0</v>
      </c>
      <c r="BA21" s="30"/>
      <c r="BB21" s="29">
        <f t="shared" si="0"/>
        <v>832415.0399999998</v>
      </c>
      <c r="BC21" s="29"/>
      <c r="BD21" s="29"/>
      <c r="BE21" s="29"/>
      <c r="BF21" s="30"/>
    </row>
    <row r="22" spans="1:58" ht="12.75">
      <c r="A22" s="248" t="s">
        <v>421</v>
      </c>
      <c r="B22" s="30">
        <v>98811</v>
      </c>
      <c r="C22" s="30">
        <v>113099</v>
      </c>
      <c r="D22" s="30">
        <v>106363.825</v>
      </c>
      <c r="E22" s="30">
        <v>59294</v>
      </c>
      <c r="F22" s="30">
        <v>104522</v>
      </c>
      <c r="G22" s="30">
        <v>49255</v>
      </c>
      <c r="H22" s="30">
        <v>40068</v>
      </c>
      <c r="I22" s="30">
        <v>27953</v>
      </c>
      <c r="J22" s="30">
        <v>40664</v>
      </c>
      <c r="K22" s="30">
        <v>31218</v>
      </c>
      <c r="L22" s="30">
        <v>33905</v>
      </c>
      <c r="M22" s="30">
        <v>19092.234</v>
      </c>
      <c r="N22" s="30">
        <v>12786</v>
      </c>
      <c r="O22" s="30">
        <v>27806</v>
      </c>
      <c r="P22" s="30">
        <v>43517.894</v>
      </c>
      <c r="Q22" s="30">
        <v>27064.463</v>
      </c>
      <c r="R22" s="30">
        <v>51056</v>
      </c>
      <c r="S22" s="30">
        <v>24205</v>
      </c>
      <c r="T22" s="30">
        <v>19545.3</v>
      </c>
      <c r="U22" s="30">
        <v>11933</v>
      </c>
      <c r="V22" s="30">
        <v>13762</v>
      </c>
      <c r="W22" s="30">
        <v>3768</v>
      </c>
      <c r="X22" s="30">
        <v>7143</v>
      </c>
      <c r="Y22" s="30">
        <v>0</v>
      </c>
      <c r="Z22" s="30">
        <v>24992.004</v>
      </c>
      <c r="AA22" s="30">
        <v>15083.959</v>
      </c>
      <c r="AB22" s="30">
        <v>31171</v>
      </c>
      <c r="AC22" s="30">
        <v>6494</v>
      </c>
      <c r="AD22" s="30">
        <f>32076</f>
        <v>32076</v>
      </c>
      <c r="AE22" s="30">
        <v>2121</v>
      </c>
      <c r="AF22" s="30">
        <v>3975</v>
      </c>
      <c r="AG22" s="30">
        <v>3442.8</v>
      </c>
      <c r="AH22" s="30">
        <v>658</v>
      </c>
      <c r="AI22" s="30">
        <v>6435.273</v>
      </c>
      <c r="AJ22" s="30">
        <v>5301.491</v>
      </c>
      <c r="AK22" s="30">
        <v>2963</v>
      </c>
      <c r="AL22" s="30">
        <v>2110</v>
      </c>
      <c r="AM22" s="30">
        <v>6198.577</v>
      </c>
      <c r="AN22" s="30">
        <v>2115</v>
      </c>
      <c r="AO22" s="30">
        <v>3401</v>
      </c>
      <c r="AP22" s="30">
        <v>648</v>
      </c>
      <c r="AQ22" s="30">
        <v>1288</v>
      </c>
      <c r="AR22" s="29">
        <v>1167.528</v>
      </c>
      <c r="AS22" s="30">
        <v>2473</v>
      </c>
      <c r="AT22" s="30">
        <v>1500</v>
      </c>
      <c r="AU22" s="30">
        <v>371</v>
      </c>
      <c r="AV22" s="30">
        <v>2546</v>
      </c>
      <c r="AW22" s="30">
        <v>1327</v>
      </c>
      <c r="AX22" s="30">
        <v>2201</v>
      </c>
      <c r="AY22" s="30">
        <v>1692.566</v>
      </c>
      <c r="AZ22" s="30">
        <v>136.658</v>
      </c>
      <c r="BA22" s="30"/>
      <c r="BB22" s="29">
        <f t="shared" si="0"/>
        <v>1130720.5720000002</v>
      </c>
      <c r="BC22" s="29"/>
      <c r="BD22" s="29"/>
      <c r="BE22" s="29"/>
      <c r="BF22" s="30"/>
    </row>
    <row r="23" spans="1:58" ht="12.75">
      <c r="A23" s="247" t="s">
        <v>422</v>
      </c>
      <c r="B23" s="30">
        <v>33.74</v>
      </c>
      <c r="C23" s="30">
        <v>0</v>
      </c>
      <c r="D23" s="30">
        <v>267765.779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16560</v>
      </c>
      <c r="K23" s="30">
        <v>0</v>
      </c>
      <c r="L23" s="30">
        <v>0</v>
      </c>
      <c r="M23" s="30">
        <v>17817.618</v>
      </c>
      <c r="N23" s="30">
        <v>0</v>
      </c>
      <c r="O23" s="30">
        <v>0</v>
      </c>
      <c r="P23" s="30">
        <v>0</v>
      </c>
      <c r="Q23" s="30">
        <v>0</v>
      </c>
      <c r="R23" s="30">
        <v>375593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29">
        <v>0</v>
      </c>
      <c r="AS23" s="29">
        <v>0</v>
      </c>
      <c r="AT23" s="29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/>
      <c r="BB23" s="29">
        <f t="shared" si="0"/>
        <v>677770.137</v>
      </c>
      <c r="BC23" s="29"/>
      <c r="BD23" s="29"/>
      <c r="BE23" s="29"/>
      <c r="BF23" s="30"/>
    </row>
    <row r="24" spans="1:58" ht="12.75">
      <c r="A24" s="247" t="s">
        <v>423</v>
      </c>
      <c r="B24" s="30">
        <v>1870</v>
      </c>
      <c r="C24" s="30">
        <v>755039</v>
      </c>
      <c r="D24" s="30">
        <v>11502.059</v>
      </c>
      <c r="E24" s="30">
        <v>130824</v>
      </c>
      <c r="F24" s="30">
        <v>481534</v>
      </c>
      <c r="G24" s="30">
        <v>529953</v>
      </c>
      <c r="H24" s="30">
        <v>0</v>
      </c>
      <c r="I24" s="30">
        <v>666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63</v>
      </c>
      <c r="P24" s="30">
        <v>19557.856</v>
      </c>
      <c r="Q24" s="30">
        <v>8240.951</v>
      </c>
      <c r="R24" s="30">
        <v>0</v>
      </c>
      <c r="S24" s="30">
        <v>0</v>
      </c>
      <c r="T24" s="30">
        <v>10592.3</v>
      </c>
      <c r="U24" s="30">
        <v>55069</v>
      </c>
      <c r="V24" s="30">
        <v>323</v>
      </c>
      <c r="W24" s="30">
        <v>0</v>
      </c>
      <c r="X24" s="30">
        <v>20</v>
      </c>
      <c r="Y24" s="30">
        <v>5963.993</v>
      </c>
      <c r="Z24" s="30">
        <v>0</v>
      </c>
      <c r="AA24" s="30">
        <v>0</v>
      </c>
      <c r="AB24" s="30">
        <v>0</v>
      </c>
      <c r="AC24" s="30">
        <v>0</v>
      </c>
      <c r="AD24" s="30">
        <f>43671</f>
        <v>43671</v>
      </c>
      <c r="AE24" s="30">
        <v>15135</v>
      </c>
      <c r="AF24" s="30">
        <v>0</v>
      </c>
      <c r="AG24" s="30">
        <v>11</v>
      </c>
      <c r="AH24" s="30">
        <v>0</v>
      </c>
      <c r="AI24" s="30">
        <v>273850.467</v>
      </c>
      <c r="AJ24" s="30">
        <v>2693.181</v>
      </c>
      <c r="AK24" s="30">
        <v>114</v>
      </c>
      <c r="AL24" s="30">
        <v>10785</v>
      </c>
      <c r="AM24" s="30">
        <v>0</v>
      </c>
      <c r="AN24" s="30">
        <v>0</v>
      </c>
      <c r="AO24" s="30">
        <v>0</v>
      </c>
      <c r="AP24" s="30">
        <v>5483</v>
      </c>
      <c r="AQ24" s="30">
        <v>23</v>
      </c>
      <c r="AR24" s="29">
        <v>31521.224</v>
      </c>
      <c r="AS24" s="29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/>
      <c r="BB24" s="29">
        <f t="shared" si="0"/>
        <v>2394505.0309999995</v>
      </c>
      <c r="BC24" s="29"/>
      <c r="BD24" s="29"/>
      <c r="BE24" s="29"/>
      <c r="BF24" s="30"/>
    </row>
    <row r="25" spans="1:58" ht="13.5">
      <c r="A25" s="256" t="s">
        <v>418</v>
      </c>
      <c r="B25" s="29">
        <f aca="true" t="shared" si="3" ref="B25:AG25">SUM(B20:B24)</f>
        <v>9355441.74</v>
      </c>
      <c r="C25" s="29">
        <f t="shared" si="3"/>
        <v>3073352</v>
      </c>
      <c r="D25" s="29">
        <f t="shared" si="3"/>
        <v>2388484.56</v>
      </c>
      <c r="E25" s="29">
        <f t="shared" si="3"/>
        <v>1371522</v>
      </c>
      <c r="F25" s="29">
        <f t="shared" si="3"/>
        <v>2132341</v>
      </c>
      <c r="G25" s="29">
        <f t="shared" si="3"/>
        <v>1576082</v>
      </c>
      <c r="H25" s="29">
        <f t="shared" si="3"/>
        <v>336297</v>
      </c>
      <c r="I25" s="29">
        <f t="shared" si="3"/>
        <v>620693</v>
      </c>
      <c r="J25" s="29">
        <f t="shared" si="3"/>
        <v>439646</v>
      </c>
      <c r="K25" s="29">
        <f t="shared" si="3"/>
        <v>284150</v>
      </c>
      <c r="L25" s="29">
        <f t="shared" si="3"/>
        <v>865106</v>
      </c>
      <c r="M25" s="29">
        <f t="shared" si="3"/>
        <v>443620.60400000005</v>
      </c>
      <c r="N25" s="29">
        <f t="shared" si="3"/>
        <v>316144</v>
      </c>
      <c r="O25" s="29">
        <f t="shared" si="3"/>
        <v>404391</v>
      </c>
      <c r="P25" s="29">
        <f t="shared" si="3"/>
        <v>235199.756</v>
      </c>
      <c r="Q25" s="29">
        <f t="shared" si="3"/>
        <v>188319.12</v>
      </c>
      <c r="R25" s="29">
        <f t="shared" si="3"/>
        <v>902341</v>
      </c>
      <c r="S25" s="29">
        <f t="shared" si="3"/>
        <v>673755</v>
      </c>
      <c r="T25" s="29">
        <f t="shared" si="3"/>
        <v>327958.5</v>
      </c>
      <c r="U25" s="29">
        <f t="shared" si="3"/>
        <v>654426</v>
      </c>
      <c r="V25" s="29">
        <f t="shared" si="3"/>
        <v>311758</v>
      </c>
      <c r="W25" s="29">
        <f t="shared" si="3"/>
        <v>277300</v>
      </c>
      <c r="X25" s="29">
        <f t="shared" si="3"/>
        <v>52872</v>
      </c>
      <c r="Y25" s="29">
        <f t="shared" si="3"/>
        <v>236393.97199999998</v>
      </c>
      <c r="Z25" s="29">
        <f t="shared" si="3"/>
        <v>134752.264</v>
      </c>
      <c r="AA25" s="29">
        <f t="shared" si="3"/>
        <v>195328.754</v>
      </c>
      <c r="AB25" s="29">
        <f t="shared" si="3"/>
        <v>53173</v>
      </c>
      <c r="AC25" s="29">
        <f t="shared" si="3"/>
        <v>37345</v>
      </c>
      <c r="AD25" s="29">
        <f t="shared" si="3"/>
        <v>1221421</v>
      </c>
      <c r="AE25" s="29">
        <f t="shared" si="3"/>
        <v>99834</v>
      </c>
      <c r="AF25" s="29">
        <f t="shared" si="3"/>
        <v>151687</v>
      </c>
      <c r="AG25" s="29">
        <f t="shared" si="3"/>
        <v>66671.9</v>
      </c>
      <c r="AH25" s="29">
        <f aca="true" t="shared" si="4" ref="AH25:AZ25">SUM(AH20:AH24)</f>
        <v>94842</v>
      </c>
      <c r="AI25" s="29">
        <f t="shared" si="4"/>
        <v>334442.253</v>
      </c>
      <c r="AJ25" s="29">
        <f t="shared" si="4"/>
        <v>84799.94999999998</v>
      </c>
      <c r="AK25" s="29">
        <f t="shared" si="4"/>
        <v>48544</v>
      </c>
      <c r="AL25" s="29">
        <f t="shared" si="4"/>
        <v>29022</v>
      </c>
      <c r="AM25" s="29">
        <f t="shared" si="4"/>
        <v>60972.595</v>
      </c>
      <c r="AN25" s="29">
        <f t="shared" si="4"/>
        <v>80935</v>
      </c>
      <c r="AO25" s="29">
        <f t="shared" si="4"/>
        <v>157258</v>
      </c>
      <c r="AP25" s="29">
        <f t="shared" si="4"/>
        <v>64632</v>
      </c>
      <c r="AQ25" s="29">
        <f t="shared" si="4"/>
        <v>38421</v>
      </c>
      <c r="AR25" s="29">
        <f t="shared" si="4"/>
        <v>74627.222</v>
      </c>
      <c r="AS25" s="29">
        <f t="shared" si="4"/>
        <v>33296</v>
      </c>
      <c r="AT25" s="29">
        <f t="shared" si="4"/>
        <v>40058</v>
      </c>
      <c r="AU25" s="29">
        <f t="shared" si="4"/>
        <v>37220</v>
      </c>
      <c r="AV25" s="29">
        <f t="shared" si="4"/>
        <v>33609</v>
      </c>
      <c r="AW25" s="29">
        <f t="shared" si="4"/>
        <v>27422</v>
      </c>
      <c r="AX25" s="29">
        <f t="shared" si="4"/>
        <v>135295</v>
      </c>
      <c r="AY25" s="29">
        <f t="shared" si="4"/>
        <v>53899.169</v>
      </c>
      <c r="AZ25" s="29">
        <f t="shared" si="4"/>
        <v>1319.7099999999998</v>
      </c>
      <c r="BA25" s="29"/>
      <c r="BB25" s="29">
        <f t="shared" si="0"/>
        <v>30858422.068999995</v>
      </c>
      <c r="BC25" s="29"/>
      <c r="BD25" s="29"/>
      <c r="BE25" s="29"/>
      <c r="BF25" s="30"/>
    </row>
    <row r="26" spans="1:58" ht="8.25" customHeight="1">
      <c r="A26" s="251"/>
      <c r="D26" s="42"/>
      <c r="BB26" s="29"/>
      <c r="BC26" s="29"/>
      <c r="BD26" s="29"/>
      <c r="BE26" s="29"/>
      <c r="BF26" s="30"/>
    </row>
    <row r="27" spans="1:58" ht="12.75">
      <c r="A27" s="119" t="s">
        <v>424</v>
      </c>
      <c r="D27" s="42"/>
      <c r="AF27" s="42">
        <v>0</v>
      </c>
      <c r="BB27" s="29"/>
      <c r="BC27" s="29"/>
      <c r="BD27" s="29"/>
      <c r="BE27" s="29"/>
      <c r="BF27" s="30"/>
    </row>
    <row r="28" spans="1:58" ht="12.75">
      <c r="A28" s="246" t="s">
        <v>425</v>
      </c>
      <c r="B28" s="29">
        <f>+B17-B25</f>
        <v>39857323.392</v>
      </c>
      <c r="C28" s="29">
        <f>+C17-C25</f>
        <v>20155082</v>
      </c>
      <c r="D28" s="29">
        <f>+D17-D25</f>
        <v>11175233.514999999</v>
      </c>
      <c r="E28" s="29">
        <f>+E17-E25</f>
        <v>8171870</v>
      </c>
      <c r="F28" s="29">
        <f>+F17-F25-1</f>
        <v>15301039</v>
      </c>
      <c r="G28" s="29">
        <f>+G17-G25</f>
        <v>14902096</v>
      </c>
      <c r="H28" s="29">
        <f>H17-H25</f>
        <v>3523124</v>
      </c>
      <c r="I28" s="29">
        <f>I17-I25</f>
        <v>15010647</v>
      </c>
      <c r="J28" s="29">
        <f aca="true" t="shared" si="5" ref="J28:X28">J17-J25</f>
        <v>28304587</v>
      </c>
      <c r="K28" s="29">
        <f t="shared" si="5"/>
        <v>5004167</v>
      </c>
      <c r="L28" s="29">
        <f t="shared" si="5"/>
        <v>4482398</v>
      </c>
      <c r="M28" s="29">
        <f t="shared" si="5"/>
        <v>15283215.513</v>
      </c>
      <c r="N28" s="29">
        <f t="shared" si="5"/>
        <v>1728829</v>
      </c>
      <c r="O28" s="29">
        <f t="shared" si="5"/>
        <v>3381195</v>
      </c>
      <c r="P28" s="29">
        <f t="shared" si="5"/>
        <v>5172146.78</v>
      </c>
      <c r="Q28" s="29">
        <f t="shared" si="5"/>
        <v>2622760.5349999997</v>
      </c>
      <c r="R28" s="29">
        <f t="shared" si="5"/>
        <v>5704737</v>
      </c>
      <c r="S28" s="29">
        <f t="shared" si="5"/>
        <v>8436643</v>
      </c>
      <c r="T28" s="29">
        <f t="shared" si="5"/>
        <v>1719314.5</v>
      </c>
      <c r="U28" s="29">
        <f t="shared" si="5"/>
        <v>3260537</v>
      </c>
      <c r="V28" s="29">
        <f t="shared" si="5"/>
        <v>1706347</v>
      </c>
      <c r="W28" s="29">
        <f t="shared" si="5"/>
        <v>6838165</v>
      </c>
      <c r="X28" s="29">
        <f t="shared" si="5"/>
        <v>1594144</v>
      </c>
      <c r="Y28" s="29">
        <f aca="true" t="shared" si="6" ref="Y28:AZ28">+Y17-Y25</f>
        <v>670276.149</v>
      </c>
      <c r="Z28" s="29">
        <f t="shared" si="6"/>
        <v>7220026.714999999</v>
      </c>
      <c r="AA28" s="29">
        <f t="shared" si="6"/>
        <v>1896901.777</v>
      </c>
      <c r="AB28" s="29">
        <f t="shared" si="6"/>
        <v>4628436</v>
      </c>
      <c r="AC28" s="29">
        <f t="shared" si="6"/>
        <v>4095478</v>
      </c>
      <c r="AD28" s="29">
        <f t="shared" si="6"/>
        <v>575414</v>
      </c>
      <c r="AE28" s="29">
        <f t="shared" si="6"/>
        <v>1057037</v>
      </c>
      <c r="AF28" s="29">
        <f t="shared" si="6"/>
        <v>431248</v>
      </c>
      <c r="AG28" s="29">
        <f t="shared" si="6"/>
        <v>250669.50000000003</v>
      </c>
      <c r="AH28" s="29">
        <f t="shared" si="6"/>
        <v>1395366</v>
      </c>
      <c r="AI28" s="29">
        <f t="shared" si="6"/>
        <v>800062.0179999999</v>
      </c>
      <c r="AJ28" s="29">
        <f t="shared" si="6"/>
        <v>350642.38899999997</v>
      </c>
      <c r="AK28" s="29">
        <f t="shared" si="6"/>
        <v>2228583</v>
      </c>
      <c r="AL28" s="29">
        <f t="shared" si="6"/>
        <v>1109248</v>
      </c>
      <c r="AM28" s="29">
        <f t="shared" si="6"/>
        <v>153854.297</v>
      </c>
      <c r="AN28" s="29">
        <f t="shared" si="6"/>
        <v>544198</v>
      </c>
      <c r="AO28" s="29">
        <f t="shared" si="6"/>
        <v>291426</v>
      </c>
      <c r="AP28" s="29">
        <f t="shared" si="6"/>
        <v>523162</v>
      </c>
      <c r="AQ28" s="29">
        <f t="shared" si="6"/>
        <v>316943</v>
      </c>
      <c r="AR28" s="29">
        <f t="shared" si="6"/>
        <v>660756.8040000001</v>
      </c>
      <c r="AS28" s="29">
        <f t="shared" si="6"/>
        <v>401779</v>
      </c>
      <c r="AT28" s="29">
        <f t="shared" si="6"/>
        <v>479488</v>
      </c>
      <c r="AU28" s="29">
        <f t="shared" si="6"/>
        <v>34377</v>
      </c>
      <c r="AV28" s="29">
        <f t="shared" si="6"/>
        <v>113601</v>
      </c>
      <c r="AW28" s="29">
        <f t="shared" si="6"/>
        <v>66853</v>
      </c>
      <c r="AX28" s="29">
        <f t="shared" si="6"/>
        <v>10615</v>
      </c>
      <c r="AY28" s="29">
        <f t="shared" si="6"/>
        <v>3338.4029999999984</v>
      </c>
      <c r="AZ28" s="29">
        <f t="shared" si="6"/>
        <v>1750.8400000000004</v>
      </c>
      <c r="BA28" s="29"/>
      <c r="BB28" s="29">
        <f t="shared" si="0"/>
        <v>253647132.127</v>
      </c>
      <c r="BC28" s="29"/>
      <c r="BD28" s="29"/>
      <c r="BE28" s="29"/>
      <c r="BF28" s="30"/>
    </row>
    <row r="29" spans="1:58" ht="8.25" customHeight="1">
      <c r="A29" s="247"/>
      <c r="D29" s="42"/>
      <c r="BB29" s="29"/>
      <c r="BC29" s="29"/>
      <c r="BD29" s="29"/>
      <c r="BE29" s="29"/>
      <c r="BF29" s="30"/>
    </row>
    <row r="30" spans="1:58" ht="12.75">
      <c r="A30" s="119" t="s">
        <v>426</v>
      </c>
      <c r="D30" s="42"/>
      <c r="BB30" s="29"/>
      <c r="BC30" s="29"/>
      <c r="BD30" s="29"/>
      <c r="BE30" s="29"/>
      <c r="BF30" s="30"/>
    </row>
    <row r="31" spans="1:58" ht="12.75">
      <c r="A31" s="247" t="s">
        <v>427</v>
      </c>
      <c r="B31" s="30">
        <v>21724269.79</v>
      </c>
      <c r="C31" s="30">
        <v>8349368</v>
      </c>
      <c r="D31" s="30">
        <v>4569110.867</v>
      </c>
      <c r="E31" s="30">
        <v>4260899</v>
      </c>
      <c r="F31" s="30">
        <v>4542666</v>
      </c>
      <c r="G31" s="30">
        <v>7133034</v>
      </c>
      <c r="H31" s="30">
        <v>892053</v>
      </c>
      <c r="I31" s="30">
        <v>12548866</v>
      </c>
      <c r="J31" s="30">
        <v>24828515</v>
      </c>
      <c r="K31" s="30">
        <v>1963813</v>
      </c>
      <c r="L31" s="30">
        <v>1771532</v>
      </c>
      <c r="M31" s="30">
        <v>14071779.318</v>
      </c>
      <c r="N31" s="30">
        <v>1232075</v>
      </c>
      <c r="O31" s="30">
        <v>1421985</v>
      </c>
      <c r="P31" s="30">
        <v>4571210.638</v>
      </c>
      <c r="Q31" s="30">
        <v>155000</v>
      </c>
      <c r="R31" s="30">
        <v>4800921</v>
      </c>
      <c r="S31" s="30">
        <v>7431485</v>
      </c>
      <c r="T31" s="30">
        <v>1088536.3</v>
      </c>
      <c r="U31" s="30">
        <v>2123281</v>
      </c>
      <c r="V31" s="30">
        <v>555393</v>
      </c>
      <c r="W31" s="30">
        <v>6637447</v>
      </c>
      <c r="X31" s="30">
        <v>1375866</v>
      </c>
      <c r="Y31" s="30">
        <v>0</v>
      </c>
      <c r="Z31" s="30">
        <v>7213794.999</v>
      </c>
      <c r="AA31" s="30">
        <v>1375480.711</v>
      </c>
      <c r="AB31" s="30">
        <v>3448816</v>
      </c>
      <c r="AC31" s="30">
        <v>3692243</v>
      </c>
      <c r="AD31" s="30">
        <v>295473</v>
      </c>
      <c r="AE31" s="30">
        <v>1057087</v>
      </c>
      <c r="AF31" s="30">
        <v>15020</v>
      </c>
      <c r="AG31" s="30">
        <v>10389.1</v>
      </c>
      <c r="AH31" s="30">
        <v>1404089</v>
      </c>
      <c r="AI31" s="30">
        <v>657465.706</v>
      </c>
      <c r="AJ31" s="30">
        <v>291498.06</v>
      </c>
      <c r="AK31" s="30">
        <v>1297242</v>
      </c>
      <c r="AL31" s="30">
        <v>1103877</v>
      </c>
      <c r="AM31" s="30">
        <f>486.382+1868.7</f>
        <v>2355.082</v>
      </c>
      <c r="AN31" s="30">
        <v>545875</v>
      </c>
      <c r="AO31" s="30">
        <v>200342</v>
      </c>
      <c r="AP31" s="30">
        <v>514672</v>
      </c>
      <c r="AQ31" s="30">
        <v>316690</v>
      </c>
      <c r="AR31" s="30">
        <v>442566.425</v>
      </c>
      <c r="AS31" s="30">
        <v>374237</v>
      </c>
      <c r="AT31" s="30">
        <v>480505</v>
      </c>
      <c r="AU31" s="30">
        <v>0</v>
      </c>
      <c r="AV31" s="30">
        <v>67223</v>
      </c>
      <c r="AW31" s="30">
        <v>58252</v>
      </c>
      <c r="AX31" s="30">
        <v>0</v>
      </c>
      <c r="AY31" s="30">
        <v>0</v>
      </c>
      <c r="AZ31" s="30">
        <v>0</v>
      </c>
      <c r="BA31" s="30"/>
      <c r="BB31" s="29">
        <f t="shared" si="0"/>
        <v>162914298.996</v>
      </c>
      <c r="BC31" s="29"/>
      <c r="BD31" s="29"/>
      <c r="BE31" s="29"/>
      <c r="BF31" s="30"/>
    </row>
    <row r="32" spans="1:58" ht="12.75">
      <c r="A32" s="247" t="s">
        <v>428</v>
      </c>
      <c r="B32" s="30">
        <v>13400937.871</v>
      </c>
      <c r="C32" s="30">
        <v>6486738</v>
      </c>
      <c r="D32" s="30">
        <v>5223974.881999999</v>
      </c>
      <c r="E32" s="30">
        <v>3176687</v>
      </c>
      <c r="F32" s="30">
        <v>8668493</v>
      </c>
      <c r="G32" s="30">
        <v>7047575</v>
      </c>
      <c r="H32" s="30">
        <v>2051142</v>
      </c>
      <c r="I32" s="30">
        <v>2145331</v>
      </c>
      <c r="J32" s="30">
        <v>2293170</v>
      </c>
      <c r="K32" s="30">
        <v>1901418</v>
      </c>
      <c r="L32" s="30">
        <v>2077305</v>
      </c>
      <c r="M32" s="30">
        <v>1093020.224</v>
      </c>
      <c r="N32" s="30">
        <v>78925</v>
      </c>
      <c r="O32" s="30">
        <v>1746314</v>
      </c>
      <c r="P32" s="30">
        <v>415127.426</v>
      </c>
      <c r="Q32" s="30">
        <v>2109431.63</v>
      </c>
      <c r="R32" s="30">
        <v>978172</v>
      </c>
      <c r="S32" s="30">
        <v>872490</v>
      </c>
      <c r="T32" s="30">
        <v>631850.4</v>
      </c>
      <c r="U32" s="30">
        <v>844822</v>
      </c>
      <c r="V32" s="30">
        <v>1114850</v>
      </c>
      <c r="W32" s="30">
        <v>11292</v>
      </c>
      <c r="X32" s="30">
        <v>44739</v>
      </c>
      <c r="Y32" s="30">
        <v>671316.89</v>
      </c>
      <c r="Z32" s="30">
        <v>0</v>
      </c>
      <c r="AA32" s="30">
        <v>454874.268</v>
      </c>
      <c r="AB32" s="30">
        <v>537900</v>
      </c>
      <c r="AC32" s="30">
        <v>254385</v>
      </c>
      <c r="AD32" s="30">
        <v>10311</v>
      </c>
      <c r="AE32" s="30">
        <v>0</v>
      </c>
      <c r="AF32" s="30">
        <v>407708</v>
      </c>
      <c r="AG32" s="30">
        <v>89021.5</v>
      </c>
      <c r="AH32" s="30">
        <v>0</v>
      </c>
      <c r="AI32" s="30">
        <v>143184.658</v>
      </c>
      <c r="AJ32" s="30">
        <v>8719.783</v>
      </c>
      <c r="AK32" s="30">
        <v>523138</v>
      </c>
      <c r="AL32" s="30">
        <v>0</v>
      </c>
      <c r="AM32" s="30">
        <f>57095.205+23840.035-11725.399</f>
        <v>69209.841</v>
      </c>
      <c r="AN32" s="30">
        <v>0</v>
      </c>
      <c r="AO32" s="30">
        <v>69175</v>
      </c>
      <c r="AP32" s="30">
        <v>8430</v>
      </c>
      <c r="AQ32" s="30">
        <v>0</v>
      </c>
      <c r="AR32" s="30">
        <v>0</v>
      </c>
      <c r="AS32" s="30">
        <v>0</v>
      </c>
      <c r="AT32" s="30">
        <v>0</v>
      </c>
      <c r="AU32" s="30">
        <v>36014</v>
      </c>
      <c r="AV32" s="30">
        <v>41857</v>
      </c>
      <c r="AW32" s="30">
        <v>14670</v>
      </c>
      <c r="AX32" s="30">
        <v>0</v>
      </c>
      <c r="AY32" s="30">
        <v>0</v>
      </c>
      <c r="AZ32" s="30">
        <v>0</v>
      </c>
      <c r="BA32" s="30"/>
      <c r="BB32" s="29">
        <f t="shared" si="0"/>
        <v>67753720.37300001</v>
      </c>
      <c r="BC32" s="29"/>
      <c r="BD32" s="29"/>
      <c r="BE32" s="29"/>
      <c r="BF32" s="30"/>
    </row>
    <row r="33" spans="1:58" ht="12.75">
      <c r="A33" s="49" t="s">
        <v>429</v>
      </c>
      <c r="B33" s="30">
        <v>4529357.2</v>
      </c>
      <c r="C33" s="30">
        <v>4400161</v>
      </c>
      <c r="D33" s="30">
        <v>935234.452</v>
      </c>
      <c r="E33" s="30">
        <v>523034</v>
      </c>
      <c r="F33" s="30">
        <v>2133138</v>
      </c>
      <c r="G33" s="30">
        <v>58067</v>
      </c>
      <c r="H33" s="30">
        <v>455085</v>
      </c>
      <c r="I33" s="30">
        <v>376546</v>
      </c>
      <c r="J33" s="30">
        <v>2412</v>
      </c>
      <c r="K33" s="30">
        <v>1091675</v>
      </c>
      <c r="L33" s="30">
        <v>588913</v>
      </c>
      <c r="M33" s="30">
        <v>168949.517</v>
      </c>
      <c r="N33" s="30">
        <v>388700</v>
      </c>
      <c r="O33" s="30">
        <v>179470</v>
      </c>
      <c r="P33" s="30">
        <v>0</v>
      </c>
      <c r="Q33" s="30">
        <v>361981.702</v>
      </c>
      <c r="R33" s="30">
        <v>364695</v>
      </c>
      <c r="S33" s="30">
        <v>123280</v>
      </c>
      <c r="T33" s="30">
        <v>0</v>
      </c>
      <c r="U33" s="30">
        <v>291463</v>
      </c>
      <c r="V33" s="30">
        <v>0</v>
      </c>
      <c r="W33" s="30">
        <v>188676</v>
      </c>
      <c r="X33" s="30">
        <v>119913</v>
      </c>
      <c r="Y33" s="30">
        <v>41165</v>
      </c>
      <c r="Z33" s="30">
        <v>0</v>
      </c>
      <c r="AA33" s="30">
        <v>108052</v>
      </c>
      <c r="AB33" s="30">
        <v>409017</v>
      </c>
      <c r="AC33" s="30">
        <v>0</v>
      </c>
      <c r="AD33" s="30">
        <v>224815</v>
      </c>
      <c r="AE33" s="30">
        <v>0</v>
      </c>
      <c r="AF33" s="30">
        <v>750</v>
      </c>
      <c r="AG33" s="30">
        <v>0</v>
      </c>
      <c r="AH33" s="30">
        <v>0</v>
      </c>
      <c r="AI33" s="30">
        <v>8450</v>
      </c>
      <c r="AJ33" s="30">
        <v>53215.63</v>
      </c>
      <c r="AK33" s="30">
        <v>0</v>
      </c>
      <c r="AL33" s="30">
        <v>7424</v>
      </c>
      <c r="AM33" s="30">
        <v>60567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19525</v>
      </c>
      <c r="AT33" s="30">
        <v>0</v>
      </c>
      <c r="AU33" s="30">
        <v>5700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/>
      <c r="BB33" s="29">
        <f t="shared" si="0"/>
        <v>18219431.501</v>
      </c>
      <c r="BC33" s="29"/>
      <c r="BD33" s="29"/>
      <c r="BE33" s="29"/>
      <c r="BF33" s="30"/>
    </row>
    <row r="34" spans="1:58" ht="12.75">
      <c r="A34" s="247" t="s">
        <v>430</v>
      </c>
      <c r="B34" s="30">
        <v>0</v>
      </c>
      <c r="C34" s="30">
        <v>0</v>
      </c>
      <c r="D34" s="30">
        <v>0</v>
      </c>
      <c r="E34" s="30">
        <v>5165</v>
      </c>
      <c r="F34" s="30">
        <v>0</v>
      </c>
      <c r="G34" s="30">
        <v>175851</v>
      </c>
      <c r="H34" s="30">
        <v>0</v>
      </c>
      <c r="I34" s="30">
        <v>0</v>
      </c>
      <c r="J34" s="30">
        <v>1274594</v>
      </c>
      <c r="K34" s="30">
        <v>0</v>
      </c>
      <c r="L34" s="30">
        <v>0</v>
      </c>
      <c r="M34" s="30">
        <v>7337.915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13923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201352</v>
      </c>
      <c r="AC34" s="30">
        <v>60790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400000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218190.379</v>
      </c>
      <c r="AS34" s="30">
        <v>0</v>
      </c>
      <c r="AT34" s="30">
        <v>0</v>
      </c>
      <c r="AU34" s="30">
        <v>0</v>
      </c>
      <c r="AV34" s="30">
        <v>35148</v>
      </c>
      <c r="AW34" s="30">
        <v>0</v>
      </c>
      <c r="AX34" s="30">
        <v>0</v>
      </c>
      <c r="AY34" s="30">
        <v>0</v>
      </c>
      <c r="AZ34" s="30">
        <v>0</v>
      </c>
      <c r="BA34" s="30"/>
      <c r="BB34" s="29">
        <f t="shared" si="0"/>
        <v>2392351.294</v>
      </c>
      <c r="BC34" s="29"/>
      <c r="BD34" s="29"/>
      <c r="BE34" s="29"/>
      <c r="BF34" s="30"/>
    </row>
    <row r="35" spans="1:58" ht="12.75">
      <c r="A35" s="247" t="s">
        <v>431</v>
      </c>
      <c r="B35" s="30">
        <v>0</v>
      </c>
      <c r="C35" s="30">
        <v>16914</v>
      </c>
      <c r="D35" s="30">
        <v>40607.977</v>
      </c>
      <c r="E35" s="30">
        <v>45459</v>
      </c>
      <c r="F35" s="30">
        <v>0</v>
      </c>
      <c r="G35" s="30">
        <v>10314</v>
      </c>
      <c r="H35" s="30">
        <v>2929</v>
      </c>
      <c r="I35" s="30">
        <v>0</v>
      </c>
      <c r="J35" s="30">
        <v>0</v>
      </c>
      <c r="K35" s="30">
        <v>9641</v>
      </c>
      <c r="L35" s="30">
        <v>81555</v>
      </c>
      <c r="M35" s="30">
        <v>0</v>
      </c>
      <c r="N35" s="30">
        <v>0</v>
      </c>
      <c r="O35" s="30">
        <v>0</v>
      </c>
      <c r="P35" s="30">
        <v>149111.835</v>
      </c>
      <c r="Q35" s="30">
        <v>5816.995</v>
      </c>
      <c r="R35" s="30">
        <v>0</v>
      </c>
      <c r="S35" s="30">
        <v>0</v>
      </c>
      <c r="T35" s="30">
        <v>957</v>
      </c>
      <c r="U35" s="30">
        <v>971</v>
      </c>
      <c r="V35" s="30">
        <v>3339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1653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42556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/>
      <c r="BB35" s="29">
        <f t="shared" si="0"/>
        <v>411824.80700000003</v>
      </c>
      <c r="BC35" s="29"/>
      <c r="BD35" s="29"/>
      <c r="BE35" s="29"/>
      <c r="BF35" s="30"/>
    </row>
    <row r="36" spans="1:58" ht="12.75">
      <c r="A36" s="247" t="s">
        <v>432</v>
      </c>
      <c r="B36" s="30">
        <v>14157</v>
      </c>
      <c r="C36" s="30">
        <v>0</v>
      </c>
      <c r="D36" s="30">
        <v>2674.835</v>
      </c>
      <c r="E36" s="30">
        <v>0</v>
      </c>
      <c r="F36" s="30">
        <v>0</v>
      </c>
      <c r="G36" s="30">
        <v>80000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24000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6965.731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/>
      <c r="BB36" s="29">
        <f t="shared" si="0"/>
        <v>127797.56599999999</v>
      </c>
      <c r="BC36" s="29"/>
      <c r="BD36" s="29"/>
      <c r="BE36" s="29"/>
      <c r="BF36" s="30"/>
    </row>
    <row r="37" spans="1:58" ht="12.75">
      <c r="A37" s="248" t="s">
        <v>433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/>
      <c r="BB37" s="29">
        <f t="shared" si="0"/>
        <v>0</v>
      </c>
      <c r="BC37" s="29"/>
      <c r="BD37" s="29"/>
      <c r="BE37" s="29"/>
      <c r="BF37" s="30"/>
    </row>
    <row r="38" spans="1:58" ht="12.75">
      <c r="A38" s="258" t="s">
        <v>434</v>
      </c>
      <c r="B38" s="29">
        <f>SUM(B31:B37)</f>
        <v>39668721.861</v>
      </c>
      <c r="C38" s="29">
        <f>SUM(C31:C37)</f>
        <v>19253181</v>
      </c>
      <c r="D38" s="29">
        <f>SUM(D31:D37)</f>
        <v>10771603.012999998</v>
      </c>
      <c r="E38" s="29">
        <f>SUM(E31:E37)</f>
        <v>8011244</v>
      </c>
      <c r="F38" s="29">
        <f>SUM(F31:F37)+1</f>
        <v>15344298</v>
      </c>
      <c r="G38" s="29">
        <f aca="true" t="shared" si="7" ref="G38:AC38">SUM(G31:G37)</f>
        <v>14504841</v>
      </c>
      <c r="H38" s="29">
        <f t="shared" si="7"/>
        <v>3401209</v>
      </c>
      <c r="I38" s="29">
        <f t="shared" si="7"/>
        <v>15070743</v>
      </c>
      <c r="J38" s="29">
        <f t="shared" si="7"/>
        <v>28398691</v>
      </c>
      <c r="K38" s="29">
        <f t="shared" si="7"/>
        <v>4966547</v>
      </c>
      <c r="L38" s="29">
        <f t="shared" si="7"/>
        <v>4519305</v>
      </c>
      <c r="M38" s="29">
        <f t="shared" si="7"/>
        <v>15341086.974</v>
      </c>
      <c r="N38" s="29">
        <f t="shared" si="7"/>
        <v>1699700</v>
      </c>
      <c r="O38" s="29">
        <f t="shared" si="7"/>
        <v>3371769</v>
      </c>
      <c r="P38" s="29">
        <f t="shared" si="7"/>
        <v>5135449.899</v>
      </c>
      <c r="Q38" s="29">
        <f t="shared" si="7"/>
        <v>2632230.327</v>
      </c>
      <c r="R38" s="29">
        <f t="shared" si="7"/>
        <v>6143788</v>
      </c>
      <c r="S38" s="29">
        <f t="shared" si="7"/>
        <v>8427255</v>
      </c>
      <c r="T38" s="29">
        <f t="shared" si="7"/>
        <v>1721343.7000000002</v>
      </c>
      <c r="U38" s="29">
        <f t="shared" si="7"/>
        <v>3260537</v>
      </c>
      <c r="V38" s="29">
        <f t="shared" si="7"/>
        <v>1687505</v>
      </c>
      <c r="W38" s="29">
        <f t="shared" si="7"/>
        <v>6837415</v>
      </c>
      <c r="X38" s="29">
        <f t="shared" si="7"/>
        <v>1540518</v>
      </c>
      <c r="Y38" s="29">
        <f t="shared" si="7"/>
        <v>712481.89</v>
      </c>
      <c r="Z38" s="29">
        <f t="shared" si="7"/>
        <v>7213794.999</v>
      </c>
      <c r="AA38" s="29">
        <f t="shared" si="7"/>
        <v>1945372.7099999997</v>
      </c>
      <c r="AB38" s="29">
        <f t="shared" si="7"/>
        <v>4598738</v>
      </c>
      <c r="AC38" s="29">
        <f t="shared" si="7"/>
        <v>4007418</v>
      </c>
      <c r="AD38" s="29">
        <f aca="true" t="shared" si="8" ref="AD38:AL38">SUM(AD31:AD37)</f>
        <v>530599</v>
      </c>
      <c r="AE38" s="29">
        <f t="shared" si="8"/>
        <v>1057087</v>
      </c>
      <c r="AF38" s="29">
        <f t="shared" si="8"/>
        <v>423478</v>
      </c>
      <c r="AG38" s="29">
        <f t="shared" si="8"/>
        <v>99410.6</v>
      </c>
      <c r="AH38" s="29">
        <f>SUM(AH31:AH37)</f>
        <v>1404089</v>
      </c>
      <c r="AI38" s="29">
        <f>SUM(AI31:AI37)</f>
        <v>809100.3640000001</v>
      </c>
      <c r="AJ38" s="29">
        <f t="shared" si="8"/>
        <v>353433.473</v>
      </c>
      <c r="AK38" s="29">
        <f t="shared" si="8"/>
        <v>2220380</v>
      </c>
      <c r="AL38" s="29">
        <f t="shared" si="8"/>
        <v>1111301</v>
      </c>
      <c r="AM38" s="29">
        <f aca="true" t="shared" si="9" ref="AM38:AZ38">SUM(AM31:AM37)</f>
        <v>132131.923</v>
      </c>
      <c r="AN38" s="29">
        <f t="shared" si="9"/>
        <v>545875</v>
      </c>
      <c r="AO38" s="29">
        <f t="shared" si="9"/>
        <v>312073</v>
      </c>
      <c r="AP38" s="29">
        <f t="shared" si="9"/>
        <v>523102</v>
      </c>
      <c r="AQ38" s="29">
        <f t="shared" si="9"/>
        <v>316690</v>
      </c>
      <c r="AR38" s="29">
        <f t="shared" si="9"/>
        <v>660756.804</v>
      </c>
      <c r="AS38" s="29">
        <f t="shared" si="9"/>
        <v>393762</v>
      </c>
      <c r="AT38" s="29">
        <f t="shared" si="9"/>
        <v>480505</v>
      </c>
      <c r="AU38" s="29">
        <f t="shared" si="9"/>
        <v>41714</v>
      </c>
      <c r="AV38" s="29">
        <f t="shared" si="9"/>
        <v>144228</v>
      </c>
      <c r="AW38" s="29">
        <f t="shared" si="9"/>
        <v>72922</v>
      </c>
      <c r="AX38" s="29">
        <f t="shared" si="9"/>
        <v>0</v>
      </c>
      <c r="AY38" s="29">
        <f t="shared" si="9"/>
        <v>0</v>
      </c>
      <c r="AZ38" s="29">
        <f t="shared" si="9"/>
        <v>0</v>
      </c>
      <c r="BA38" s="29"/>
      <c r="BB38" s="29">
        <f t="shared" si="0"/>
        <v>251819425.53699997</v>
      </c>
      <c r="BC38" s="29"/>
      <c r="BD38" s="29"/>
      <c r="BE38" s="29"/>
      <c r="BF38" s="30"/>
    </row>
    <row r="39" spans="1:58" ht="8.25" customHeight="1">
      <c r="A39" s="247"/>
      <c r="D39" s="42"/>
      <c r="BB39" s="29"/>
      <c r="BC39" s="29"/>
      <c r="BD39" s="29"/>
      <c r="BE39" s="29"/>
      <c r="BF39" s="30"/>
    </row>
    <row r="40" spans="1:58" ht="12.75">
      <c r="A40" s="259" t="s">
        <v>435</v>
      </c>
      <c r="B40" s="29">
        <f>+B28-B38</f>
        <v>188601.53099999577</v>
      </c>
      <c r="C40" s="29">
        <f>+C28-C38</f>
        <v>901901</v>
      </c>
      <c r="D40" s="29">
        <f aca="true" t="shared" si="10" ref="D40:K40">+D28-D38</f>
        <v>403630.5020000003</v>
      </c>
      <c r="E40" s="29">
        <f t="shared" si="10"/>
        <v>160626</v>
      </c>
      <c r="F40" s="29">
        <f t="shared" si="10"/>
        <v>-43259</v>
      </c>
      <c r="G40" s="29">
        <f t="shared" si="10"/>
        <v>397255</v>
      </c>
      <c r="H40" s="29">
        <f>+H28-H38</f>
        <v>121915</v>
      </c>
      <c r="I40" s="29">
        <f t="shared" si="10"/>
        <v>-60096</v>
      </c>
      <c r="J40" s="29">
        <f t="shared" si="10"/>
        <v>-94104</v>
      </c>
      <c r="K40" s="29">
        <f t="shared" si="10"/>
        <v>37620</v>
      </c>
      <c r="L40" s="29">
        <f aca="true" t="shared" si="11" ref="L40:AZ40">+L28-L38</f>
        <v>-36907</v>
      </c>
      <c r="M40" s="29">
        <f t="shared" si="11"/>
        <v>-57871.460999999195</v>
      </c>
      <c r="N40" s="29">
        <f t="shared" si="11"/>
        <v>29129</v>
      </c>
      <c r="O40" s="29">
        <f t="shared" si="11"/>
        <v>9426</v>
      </c>
      <c r="P40" s="29">
        <f t="shared" si="11"/>
        <v>36696.88100000005</v>
      </c>
      <c r="Q40" s="29">
        <f t="shared" si="11"/>
        <v>-9469.792000000365</v>
      </c>
      <c r="R40" s="29">
        <f t="shared" si="11"/>
        <v>-439051</v>
      </c>
      <c r="S40" s="29">
        <f t="shared" si="11"/>
        <v>9388</v>
      </c>
      <c r="T40" s="29">
        <f t="shared" si="11"/>
        <v>-2029.2000000001863</v>
      </c>
      <c r="U40" s="29">
        <f t="shared" si="11"/>
        <v>0</v>
      </c>
      <c r="V40" s="29">
        <f t="shared" si="11"/>
        <v>18842</v>
      </c>
      <c r="W40" s="29">
        <f t="shared" si="11"/>
        <v>750</v>
      </c>
      <c r="X40" s="29">
        <f t="shared" si="11"/>
        <v>53626</v>
      </c>
      <c r="Y40" s="29">
        <f t="shared" si="11"/>
        <v>-42205.74100000004</v>
      </c>
      <c r="Z40" s="29">
        <f t="shared" si="11"/>
        <v>6231.715999999084</v>
      </c>
      <c r="AA40" s="29">
        <f t="shared" si="11"/>
        <v>-48470.93299999973</v>
      </c>
      <c r="AB40" s="29">
        <f t="shared" si="11"/>
        <v>29698</v>
      </c>
      <c r="AC40" s="29">
        <f t="shared" si="11"/>
        <v>88060</v>
      </c>
      <c r="AD40" s="29">
        <f t="shared" si="11"/>
        <v>44815</v>
      </c>
      <c r="AE40" s="29">
        <f t="shared" si="11"/>
        <v>-50</v>
      </c>
      <c r="AF40" s="29">
        <f t="shared" si="11"/>
        <v>7770</v>
      </c>
      <c r="AG40" s="29">
        <f t="shared" si="11"/>
        <v>151258.90000000002</v>
      </c>
      <c r="AH40" s="29">
        <f t="shared" si="11"/>
        <v>-8723</v>
      </c>
      <c r="AI40" s="29">
        <f t="shared" si="11"/>
        <v>-9038.346000000136</v>
      </c>
      <c r="AJ40" s="29">
        <f t="shared" si="11"/>
        <v>-2791.0840000000317</v>
      </c>
      <c r="AK40" s="29">
        <f t="shared" si="11"/>
        <v>8203</v>
      </c>
      <c r="AL40" s="29">
        <f t="shared" si="11"/>
        <v>-2053</v>
      </c>
      <c r="AM40" s="29">
        <f t="shared" si="11"/>
        <v>21722.37399999998</v>
      </c>
      <c r="AN40" s="29">
        <f t="shared" si="11"/>
        <v>-1677</v>
      </c>
      <c r="AO40" s="29">
        <f t="shared" si="11"/>
        <v>-20647</v>
      </c>
      <c r="AP40" s="29">
        <f t="shared" si="11"/>
        <v>60</v>
      </c>
      <c r="AQ40" s="29">
        <f t="shared" si="11"/>
        <v>253</v>
      </c>
      <c r="AR40" s="29">
        <f t="shared" si="11"/>
        <v>0</v>
      </c>
      <c r="AS40" s="29">
        <f t="shared" si="11"/>
        <v>8017</v>
      </c>
      <c r="AT40" s="29">
        <f t="shared" si="11"/>
        <v>-1017</v>
      </c>
      <c r="AU40" s="29">
        <f t="shared" si="11"/>
        <v>-7337</v>
      </c>
      <c r="AV40" s="29">
        <f t="shared" si="11"/>
        <v>-30627</v>
      </c>
      <c r="AW40" s="29">
        <f t="shared" si="11"/>
        <v>-6069</v>
      </c>
      <c r="AX40" s="29">
        <f t="shared" si="11"/>
        <v>10615</v>
      </c>
      <c r="AY40" s="29">
        <f t="shared" si="11"/>
        <v>3338.4029999999984</v>
      </c>
      <c r="AZ40" s="29">
        <f t="shared" si="11"/>
        <v>1750.8400000000004</v>
      </c>
      <c r="BA40" s="29"/>
      <c r="BB40" s="29">
        <f t="shared" si="0"/>
        <v>1827706.5899999957</v>
      </c>
      <c r="BC40" s="29"/>
      <c r="BD40" s="29"/>
      <c r="BE40" s="29"/>
      <c r="BF40" s="30"/>
    </row>
    <row r="41" spans="1:58" ht="8.25" customHeight="1">
      <c r="A41" s="247"/>
      <c r="D41" s="42"/>
      <c r="BB41" s="29"/>
      <c r="BC41" s="29"/>
      <c r="BD41" s="29"/>
      <c r="BE41" s="29"/>
      <c r="BF41" s="30"/>
    </row>
    <row r="42" spans="1:58" ht="12.75">
      <c r="A42" s="259" t="s">
        <v>436</v>
      </c>
      <c r="B42" s="29">
        <v>605741.4890000001</v>
      </c>
      <c r="C42" s="29">
        <v>435557</v>
      </c>
      <c r="D42" s="30">
        <v>158531.46</v>
      </c>
      <c r="E42" s="29">
        <v>136207</v>
      </c>
      <c r="F42" s="29">
        <v>376962</v>
      </c>
      <c r="G42" s="29">
        <v>626632</v>
      </c>
      <c r="H42" s="29">
        <v>159280</v>
      </c>
      <c r="I42" s="29">
        <v>545323</v>
      </c>
      <c r="J42" s="29">
        <v>413134</v>
      </c>
      <c r="K42" s="29">
        <v>113416</v>
      </c>
      <c r="L42" s="29">
        <v>235704</v>
      </c>
      <c r="M42" s="29">
        <v>192443.678</v>
      </c>
      <c r="N42" s="29">
        <v>46109</v>
      </c>
      <c r="O42" s="29">
        <v>176189</v>
      </c>
      <c r="P42" s="29">
        <v>91544.109</v>
      </c>
      <c r="Q42" s="29">
        <v>11886.745</v>
      </c>
      <c r="R42" s="29">
        <v>560767</v>
      </c>
      <c r="S42" s="29">
        <v>65852</v>
      </c>
      <c r="T42" s="29">
        <v>20669</v>
      </c>
      <c r="U42" s="29">
        <v>0</v>
      </c>
      <c r="V42" s="29">
        <v>327872</v>
      </c>
      <c r="W42" s="29">
        <v>21738</v>
      </c>
      <c r="X42" s="29">
        <v>19639</v>
      </c>
      <c r="Y42" s="29">
        <v>161934.624</v>
      </c>
      <c r="Z42" s="29">
        <v>8003.87</v>
      </c>
      <c r="AA42" s="29">
        <v>169076.368</v>
      </c>
      <c r="AB42" s="29">
        <v>13592</v>
      </c>
      <c r="AC42" s="29">
        <v>125284</v>
      </c>
      <c r="AD42" s="29">
        <v>88554</v>
      </c>
      <c r="AE42" s="29">
        <v>8244</v>
      </c>
      <c r="AF42" s="29">
        <v>4177</v>
      </c>
      <c r="AG42" s="29">
        <v>662687</v>
      </c>
      <c r="AH42" s="29">
        <v>9851</v>
      </c>
      <c r="AI42" s="29">
        <v>29473.816</v>
      </c>
      <c r="AJ42" s="29">
        <v>38979.133</v>
      </c>
      <c r="AK42" s="29">
        <v>3434</v>
      </c>
      <c r="AL42" s="29">
        <v>6579.5</v>
      </c>
      <c r="AM42" s="29">
        <v>14568.774</v>
      </c>
      <c r="AN42" s="29">
        <v>1937</v>
      </c>
      <c r="AO42" s="29">
        <v>22069</v>
      </c>
      <c r="AP42" s="29">
        <v>176</v>
      </c>
      <c r="AQ42" s="29">
        <v>568</v>
      </c>
      <c r="AR42" s="29">
        <v>10053</v>
      </c>
      <c r="AS42" s="29">
        <v>36702</v>
      </c>
      <c r="AT42" s="29">
        <v>1301</v>
      </c>
      <c r="AU42" s="29">
        <v>25909</v>
      </c>
      <c r="AV42" s="29">
        <v>37778</v>
      </c>
      <c r="AW42" s="29">
        <v>8920</v>
      </c>
      <c r="AX42" s="29">
        <v>27496</v>
      </c>
      <c r="AY42" s="29">
        <v>36684.759</v>
      </c>
      <c r="AZ42" s="29">
        <v>65.811</v>
      </c>
      <c r="BA42" s="29"/>
      <c r="BB42" s="29">
        <f t="shared" si="0"/>
        <v>6895296.136</v>
      </c>
      <c r="BC42" s="29"/>
      <c r="BD42" s="29"/>
      <c r="BE42" s="29"/>
      <c r="BF42" s="30"/>
    </row>
    <row r="43" spans="1:58" ht="12.75" customHeight="1">
      <c r="A43" s="247"/>
      <c r="D43" s="42"/>
      <c r="BB43" s="29"/>
      <c r="BC43" s="29"/>
      <c r="BD43" s="29"/>
      <c r="BE43" s="29"/>
      <c r="BF43" s="30"/>
    </row>
    <row r="44" spans="1:58" ht="12.75">
      <c r="A44" s="119" t="s">
        <v>437</v>
      </c>
      <c r="B44" s="29">
        <f>+B40+B42-1</f>
        <v>794342.0199999958</v>
      </c>
      <c r="C44" s="29">
        <f>+C40+C42</f>
        <v>1337458</v>
      </c>
      <c r="D44" s="29">
        <f aca="true" t="shared" si="12" ref="D44:X44">+D40+D42</f>
        <v>562161.9620000003</v>
      </c>
      <c r="E44" s="29">
        <f t="shared" si="12"/>
        <v>296833</v>
      </c>
      <c r="F44" s="29">
        <f t="shared" si="12"/>
        <v>333703</v>
      </c>
      <c r="G44" s="29">
        <f t="shared" si="12"/>
        <v>1023887</v>
      </c>
      <c r="H44" s="29">
        <f t="shared" si="12"/>
        <v>281195</v>
      </c>
      <c r="I44" s="29">
        <f t="shared" si="12"/>
        <v>485227</v>
      </c>
      <c r="J44" s="29">
        <f t="shared" si="12"/>
        <v>319030</v>
      </c>
      <c r="K44" s="29">
        <f t="shared" si="12"/>
        <v>151036</v>
      </c>
      <c r="L44" s="29">
        <f t="shared" si="12"/>
        <v>198797</v>
      </c>
      <c r="M44" s="29">
        <f t="shared" si="12"/>
        <v>134572.21700000082</v>
      </c>
      <c r="N44" s="29">
        <f t="shared" si="12"/>
        <v>75238</v>
      </c>
      <c r="O44" s="29">
        <f t="shared" si="12"/>
        <v>185615</v>
      </c>
      <c r="P44" s="29">
        <f t="shared" si="12"/>
        <v>128240.99000000005</v>
      </c>
      <c r="Q44" s="29">
        <f t="shared" si="12"/>
        <v>2416.9529999996357</v>
      </c>
      <c r="R44" s="29">
        <f t="shared" si="12"/>
        <v>121716</v>
      </c>
      <c r="S44" s="29">
        <f t="shared" si="12"/>
        <v>75240</v>
      </c>
      <c r="T44" s="29">
        <f t="shared" si="12"/>
        <v>18639.799999999814</v>
      </c>
      <c r="U44" s="29">
        <f t="shared" si="12"/>
        <v>0</v>
      </c>
      <c r="V44" s="29">
        <f t="shared" si="12"/>
        <v>346714</v>
      </c>
      <c r="W44" s="29">
        <f t="shared" si="12"/>
        <v>22488</v>
      </c>
      <c r="X44" s="29">
        <f t="shared" si="12"/>
        <v>73265</v>
      </c>
      <c r="Y44" s="29">
        <f aca="true" t="shared" si="13" ref="Y44:AZ44">+Y40+Y42</f>
        <v>119728.88299999997</v>
      </c>
      <c r="Z44" s="29">
        <f t="shared" si="13"/>
        <v>14235.585999999083</v>
      </c>
      <c r="AA44" s="29">
        <f t="shared" si="13"/>
        <v>120605.43500000026</v>
      </c>
      <c r="AB44" s="29">
        <f t="shared" si="13"/>
        <v>43290</v>
      </c>
      <c r="AC44" s="29">
        <f t="shared" si="13"/>
        <v>213344</v>
      </c>
      <c r="AD44" s="29">
        <f t="shared" si="13"/>
        <v>133369</v>
      </c>
      <c r="AE44" s="29">
        <f t="shared" si="13"/>
        <v>8194</v>
      </c>
      <c r="AF44" s="29">
        <f t="shared" si="13"/>
        <v>11947</v>
      </c>
      <c r="AG44" s="29">
        <f t="shared" si="13"/>
        <v>813945.9</v>
      </c>
      <c r="AH44" s="29">
        <f t="shared" si="13"/>
        <v>1128</v>
      </c>
      <c r="AI44" s="29">
        <f t="shared" si="13"/>
        <v>20435.469999999863</v>
      </c>
      <c r="AJ44" s="29">
        <f t="shared" si="13"/>
        <v>36188.04899999997</v>
      </c>
      <c r="AK44" s="29">
        <f t="shared" si="13"/>
        <v>11637</v>
      </c>
      <c r="AL44" s="29">
        <f t="shared" si="13"/>
        <v>4526.5</v>
      </c>
      <c r="AM44" s="29">
        <f t="shared" si="13"/>
        <v>36291.14799999998</v>
      </c>
      <c r="AN44" s="29">
        <f t="shared" si="13"/>
        <v>260</v>
      </c>
      <c r="AO44" s="29">
        <f t="shared" si="13"/>
        <v>1422</v>
      </c>
      <c r="AP44" s="29">
        <f t="shared" si="13"/>
        <v>236</v>
      </c>
      <c r="AQ44" s="29">
        <f t="shared" si="13"/>
        <v>821</v>
      </c>
      <c r="AR44" s="29">
        <f t="shared" si="13"/>
        <v>10053</v>
      </c>
      <c r="AS44" s="29">
        <f t="shared" si="13"/>
        <v>44719</v>
      </c>
      <c r="AT44" s="29">
        <f t="shared" si="13"/>
        <v>284</v>
      </c>
      <c r="AU44" s="29">
        <f t="shared" si="13"/>
        <v>18572</v>
      </c>
      <c r="AV44" s="29">
        <f t="shared" si="13"/>
        <v>7151</v>
      </c>
      <c r="AW44" s="29">
        <f t="shared" si="13"/>
        <v>2851</v>
      </c>
      <c r="AX44" s="29">
        <f t="shared" si="13"/>
        <v>38111</v>
      </c>
      <c r="AY44" s="29">
        <f t="shared" si="13"/>
        <v>40023.162</v>
      </c>
      <c r="AZ44" s="29">
        <f t="shared" si="13"/>
        <v>1816.6510000000003</v>
      </c>
      <c r="BA44" s="29"/>
      <c r="BB44" s="29">
        <f t="shared" si="0"/>
        <v>8723001.726</v>
      </c>
      <c r="BC44" s="29"/>
      <c r="BD44" s="29"/>
      <c r="BE44" s="29"/>
      <c r="BF44" s="30"/>
    </row>
    <row r="45" spans="54:57" ht="14.25" customHeight="1">
      <c r="BB45" s="29"/>
      <c r="BC45" s="29"/>
      <c r="BD45" s="29"/>
      <c r="BE45" s="29"/>
    </row>
    <row r="46" spans="2:58" ht="12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</row>
    <row r="48" ht="12.75">
      <c r="D48" s="42"/>
    </row>
    <row r="49" ht="12.75">
      <c r="D49" s="42"/>
    </row>
    <row r="50" spans="54:57" ht="12.75">
      <c r="BB50" s="29"/>
      <c r="BC50" s="29"/>
      <c r="BD50" s="29"/>
      <c r="BE50" s="29"/>
    </row>
    <row r="51" spans="54:57" ht="12.75">
      <c r="BB51" s="29"/>
      <c r="BC51" s="29"/>
      <c r="BD51" s="29"/>
      <c r="BE51" s="29"/>
    </row>
    <row r="52" spans="54:57" ht="12.75">
      <c r="BB52" s="29"/>
      <c r="BC52" s="29"/>
      <c r="BD52" s="29"/>
      <c r="BE52" s="29"/>
    </row>
    <row r="53" spans="54:57" ht="12.75">
      <c r="BB53" s="29"/>
      <c r="BC53" s="29"/>
      <c r="BD53" s="29"/>
      <c r="BE53" s="29"/>
    </row>
    <row r="54" spans="54:57" ht="12.75">
      <c r="BB54" s="29"/>
      <c r="BC54" s="29"/>
      <c r="BD54" s="29"/>
      <c r="BE54" s="29"/>
    </row>
    <row r="55" spans="54:57" ht="12.75">
      <c r="BB55" s="29"/>
      <c r="BC55" s="29"/>
      <c r="BD55" s="29"/>
      <c r="BE55" s="29"/>
    </row>
    <row r="56" spans="54:57" ht="12.75">
      <c r="BB56" s="29"/>
      <c r="BC56" s="29"/>
      <c r="BD56" s="29"/>
      <c r="BE56" s="29"/>
    </row>
    <row r="57" spans="54:57" ht="12.75">
      <c r="BB57" s="29"/>
      <c r="BC57" s="29"/>
      <c r="BD57" s="29"/>
      <c r="BE57" s="29"/>
    </row>
    <row r="58" spans="54:57" ht="12.75">
      <c r="BB58" s="29"/>
      <c r="BC58" s="29"/>
      <c r="BD58" s="29"/>
      <c r="BE58" s="29"/>
    </row>
    <row r="59" spans="54:57" ht="12.75">
      <c r="BB59" s="29"/>
      <c r="BC59" s="29"/>
      <c r="BD59" s="29"/>
      <c r="BE59" s="29"/>
    </row>
    <row r="60" spans="54:57" ht="12.75">
      <c r="BB60" s="29"/>
      <c r="BC60" s="29"/>
      <c r="BD60" s="29"/>
      <c r="BE60" s="29"/>
    </row>
    <row r="61" spans="56:57" ht="12.75">
      <c r="BD61" s="29"/>
      <c r="BE61" s="29"/>
    </row>
    <row r="62" spans="54:57" ht="12.75">
      <c r="BB62" s="29"/>
      <c r="BC62" s="29"/>
      <c r="BD62" s="29"/>
      <c r="BE62" s="29"/>
    </row>
    <row r="63" spans="54:57" ht="12.75">
      <c r="BB63" s="29"/>
      <c r="BC63" s="29"/>
      <c r="BD63" s="29"/>
      <c r="BE63" s="29"/>
    </row>
    <row r="64" spans="54:57" ht="12.75">
      <c r="BB64" s="103"/>
      <c r="BC64" s="103"/>
      <c r="BD64" s="29"/>
      <c r="BE64" s="29"/>
    </row>
    <row r="65" spans="54:57" ht="12.75">
      <c r="BB65" s="29"/>
      <c r="BC65" s="29"/>
      <c r="BD65" s="29"/>
      <c r="BE65" s="29"/>
    </row>
    <row r="66" spans="54:57" ht="12.75">
      <c r="BB66" s="29"/>
      <c r="BC66" s="29"/>
      <c r="BD66" s="29"/>
      <c r="BE66" s="29"/>
    </row>
    <row r="67" spans="54:57" ht="12.75">
      <c r="BB67" s="29"/>
      <c r="BC67" s="29"/>
      <c r="BD67" s="29"/>
      <c r="BE67" s="29"/>
    </row>
  </sheetData>
  <printOptions/>
  <pageMargins left="0.4724409448818898" right="0.2362204724409449" top="1.1811023622047245" bottom="0.4724409448818898" header="0.5118110236220472" footer="0.5118110236220472"/>
  <pageSetup firstPageNumber="28" useFirstPageNumber="1" horizontalDpi="600" verticalDpi="600" orientation="portrait" paperSize="9" scale="96" r:id="rId1"/>
  <headerFooter alignWithMargins="0">
    <oddHeader>&amp;C&amp;"Times New Roman,Bold"&amp;14 3.3. CASH FLOW 2002</oddHeader>
    <oddFooter>&amp;R&amp;"Times New Roman,Regular"&amp;P</oddFooter>
  </headerFooter>
  <colBreaks count="8" manualBreakCount="8">
    <brk id="7" max="43" man="1"/>
    <brk id="13" max="43" man="1"/>
    <brk id="19" max="43" man="1"/>
    <brk id="25" max="43" man="1"/>
    <brk id="31" max="43" man="1"/>
    <brk id="37" max="65535" man="1"/>
    <brk id="42" max="43" man="1"/>
    <brk id="4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O170"/>
  <sheetViews>
    <sheetView workbookViewId="0" topLeftCell="A1">
      <pane xSplit="1" ySplit="6" topLeftCell="B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K5" sqref="BK5:BN5"/>
    </sheetView>
  </sheetViews>
  <sheetFormatPr defaultColWidth="9.140625" defaultRowHeight="15" customHeight="1"/>
  <cols>
    <col min="1" max="1" width="36.57421875" style="42" customWidth="1"/>
    <col min="2" max="3" width="10.140625" style="42" customWidth="1"/>
    <col min="4" max="4" width="9.140625" style="42" customWidth="1"/>
    <col min="5" max="5" width="7.8515625" style="42" customWidth="1"/>
    <col min="6" max="6" width="10.8515625" style="42" customWidth="1"/>
    <col min="7" max="7" width="10.140625" style="42" customWidth="1"/>
    <col min="8" max="8" width="9.7109375" style="42" customWidth="1"/>
    <col min="9" max="9" width="10.140625" style="42" customWidth="1"/>
    <col min="10" max="10" width="8.28125" style="42" customWidth="1"/>
    <col min="11" max="11" width="10.00390625" style="42" customWidth="1"/>
    <col min="12" max="12" width="9.57421875" style="42" customWidth="1"/>
    <col min="13" max="13" width="9.8515625" style="42" customWidth="1"/>
    <col min="14" max="14" width="8.7109375" style="42" customWidth="1"/>
    <col min="15" max="15" width="10.7109375" style="42" customWidth="1"/>
    <col min="16" max="16" width="10.140625" style="42" customWidth="1"/>
    <col min="17" max="17" width="11.421875" style="42" customWidth="1"/>
    <col min="18" max="18" width="8.8515625" style="42" customWidth="1"/>
    <col min="19" max="20" width="9.8515625" style="42" bestFit="1" customWidth="1"/>
    <col min="21" max="21" width="10.7109375" style="42" customWidth="1"/>
    <col min="22" max="29" width="10.00390625" style="42" customWidth="1"/>
    <col min="30" max="30" width="8.8515625" style="42" customWidth="1"/>
    <col min="31" max="31" width="10.28125" style="42" customWidth="1"/>
    <col min="32" max="32" width="9.28125" style="42" customWidth="1"/>
    <col min="33" max="33" width="11.57421875" style="42" bestFit="1" customWidth="1"/>
    <col min="34" max="34" width="9.28125" style="42" customWidth="1"/>
    <col min="35" max="35" width="11.28125" style="42" bestFit="1" customWidth="1"/>
    <col min="36" max="36" width="8.8515625" style="42" customWidth="1"/>
    <col min="37" max="37" width="11.57421875" style="42" bestFit="1" customWidth="1"/>
    <col min="38" max="38" width="9.28125" style="42" customWidth="1"/>
    <col min="39" max="39" width="10.00390625" style="42" customWidth="1"/>
    <col min="40" max="40" width="11.00390625" style="42" bestFit="1" customWidth="1"/>
    <col min="41" max="41" width="8.8515625" style="42" customWidth="1"/>
    <col min="42" max="42" width="9.28125" style="42" customWidth="1"/>
    <col min="43" max="43" width="9.8515625" style="42" customWidth="1"/>
    <col min="44" max="44" width="9.28125" style="42" customWidth="1"/>
    <col min="45" max="45" width="9.8515625" style="42" customWidth="1"/>
    <col min="46" max="46" width="10.7109375" style="42" customWidth="1"/>
    <col min="47" max="47" width="9.28125" style="42" customWidth="1"/>
    <col min="48" max="48" width="10.8515625" style="42" customWidth="1"/>
    <col min="49" max="51" width="9.28125" style="42" customWidth="1"/>
    <col min="52" max="52" width="10.28125" style="42" customWidth="1"/>
    <col min="53" max="53" width="10.57421875" style="42" customWidth="1"/>
    <col min="54" max="54" width="10.28125" style="42" customWidth="1"/>
    <col min="55" max="56" width="9.28125" style="42" customWidth="1"/>
    <col min="57" max="57" width="12.8515625" style="42" customWidth="1"/>
    <col min="58" max="58" width="9.8515625" style="42" customWidth="1"/>
    <col min="59" max="59" width="10.421875" style="42" customWidth="1"/>
    <col min="60" max="60" width="10.57421875" style="42" customWidth="1"/>
    <col min="61" max="61" width="10.28125" style="42" customWidth="1"/>
    <col min="62" max="62" width="9.28125" style="42" customWidth="1"/>
    <col min="63" max="63" width="12.28125" style="42" customWidth="1"/>
    <col min="64" max="64" width="3.00390625" style="42" customWidth="1"/>
    <col min="65" max="65" width="12.57421875" style="42" customWidth="1"/>
    <col min="66" max="66" width="12.421875" style="42" customWidth="1"/>
    <col min="67" max="67" width="2.57421875" style="42" customWidth="1"/>
    <col min="68" max="16384" width="9.140625" style="42" customWidth="1"/>
  </cols>
  <sheetData>
    <row r="1" spans="1:67" ht="15" customHeight="1">
      <c r="A1" s="247"/>
      <c r="B1" s="281" t="s">
        <v>60</v>
      </c>
      <c r="C1" s="281"/>
      <c r="D1" s="281"/>
      <c r="E1" s="281"/>
      <c r="F1" s="100" t="s">
        <v>60</v>
      </c>
      <c r="G1" s="100" t="s">
        <v>60</v>
      </c>
      <c r="H1" s="100" t="s">
        <v>60</v>
      </c>
      <c r="I1" s="281" t="s">
        <v>61</v>
      </c>
      <c r="J1" s="281"/>
      <c r="K1" s="100" t="s">
        <v>60</v>
      </c>
      <c r="L1" s="100" t="s">
        <v>62</v>
      </c>
      <c r="M1" s="281" t="s">
        <v>60</v>
      </c>
      <c r="N1" s="281"/>
      <c r="O1" s="100" t="s">
        <v>64</v>
      </c>
      <c r="P1" s="100" t="s">
        <v>60</v>
      </c>
      <c r="Q1" s="281" t="s">
        <v>63</v>
      </c>
      <c r="R1" s="281"/>
      <c r="S1" s="100" t="s">
        <v>60</v>
      </c>
      <c r="T1" s="100" t="s">
        <v>60</v>
      </c>
      <c r="U1" s="281" t="s">
        <v>60</v>
      </c>
      <c r="V1" s="281" t="s">
        <v>60</v>
      </c>
      <c r="W1" s="100" t="s">
        <v>65</v>
      </c>
      <c r="X1" s="100" t="s">
        <v>60</v>
      </c>
      <c r="Y1" s="100" t="s">
        <v>60</v>
      </c>
      <c r="Z1" s="100" t="s">
        <v>60</v>
      </c>
      <c r="AA1" s="100" t="s">
        <v>60</v>
      </c>
      <c r="AB1" s="100" t="s">
        <v>60</v>
      </c>
      <c r="AC1" s="100" t="s">
        <v>60</v>
      </c>
      <c r="AD1" s="100" t="s">
        <v>66</v>
      </c>
      <c r="AE1" s="100" t="s">
        <v>60</v>
      </c>
      <c r="AF1" s="100" t="s">
        <v>60</v>
      </c>
      <c r="AG1" s="100" t="s">
        <v>68</v>
      </c>
      <c r="AH1" s="100" t="s">
        <v>60</v>
      </c>
      <c r="AI1" s="281" t="s">
        <v>60</v>
      </c>
      <c r="AJ1" s="281" t="s">
        <v>60</v>
      </c>
      <c r="AK1" s="100" t="s">
        <v>70</v>
      </c>
      <c r="AL1" s="100" t="s">
        <v>60</v>
      </c>
      <c r="AM1" s="100" t="s">
        <v>69</v>
      </c>
      <c r="AN1" s="281" t="s">
        <v>60</v>
      </c>
      <c r="AO1" s="281" t="s">
        <v>60</v>
      </c>
      <c r="AP1" s="100" t="s">
        <v>60</v>
      </c>
      <c r="AQ1" s="100" t="s">
        <v>60</v>
      </c>
      <c r="AR1" s="100" t="s">
        <v>60</v>
      </c>
      <c r="AS1" s="100" t="s">
        <v>60</v>
      </c>
      <c r="AT1" s="100" t="s">
        <v>69</v>
      </c>
      <c r="AU1" s="100" t="s">
        <v>60</v>
      </c>
      <c r="AV1" s="100" t="s">
        <v>69</v>
      </c>
      <c r="AW1" s="100" t="s">
        <v>60</v>
      </c>
      <c r="AX1" s="100" t="s">
        <v>60</v>
      </c>
      <c r="AY1" s="100" t="s">
        <v>60</v>
      </c>
      <c r="AZ1" s="100" t="s">
        <v>69</v>
      </c>
      <c r="BA1" s="100" t="s">
        <v>69</v>
      </c>
      <c r="BB1" s="100" t="s">
        <v>69</v>
      </c>
      <c r="BC1" s="100" t="s">
        <v>60</v>
      </c>
      <c r="BD1" s="100" t="s">
        <v>67</v>
      </c>
      <c r="BE1" s="100" t="s">
        <v>60</v>
      </c>
      <c r="BF1" s="100" t="s">
        <v>60</v>
      </c>
      <c r="BG1" s="100" t="s">
        <v>69</v>
      </c>
      <c r="BH1" s="100" t="s">
        <v>60</v>
      </c>
      <c r="BI1" s="100" t="s">
        <v>60</v>
      </c>
      <c r="BK1" s="100"/>
      <c r="BL1" s="100"/>
      <c r="BM1" s="273" t="s">
        <v>529</v>
      </c>
      <c r="BN1" s="273" t="s">
        <v>530</v>
      </c>
      <c r="BO1" s="100"/>
    </row>
    <row r="2" spans="1:67" ht="15" customHeight="1">
      <c r="A2" s="247" t="s">
        <v>317</v>
      </c>
      <c r="B2" s="281" t="s">
        <v>255</v>
      </c>
      <c r="C2" s="281"/>
      <c r="D2" s="281"/>
      <c r="E2" s="281"/>
      <c r="F2" s="100" t="s">
        <v>73</v>
      </c>
      <c r="G2" s="100" t="s">
        <v>75</v>
      </c>
      <c r="H2" s="100" t="s">
        <v>77</v>
      </c>
      <c r="I2" s="281" t="s">
        <v>76</v>
      </c>
      <c r="J2" s="281"/>
      <c r="K2" s="100" t="s">
        <v>78</v>
      </c>
      <c r="L2" s="100" t="s">
        <v>76</v>
      </c>
      <c r="M2" s="281" t="s">
        <v>79</v>
      </c>
      <c r="N2" s="281" t="s">
        <v>79</v>
      </c>
      <c r="O2" s="100" t="s">
        <v>76</v>
      </c>
      <c r="P2" s="100" t="s">
        <v>80</v>
      </c>
      <c r="Q2" s="281" t="s">
        <v>76</v>
      </c>
      <c r="R2" s="281" t="s">
        <v>76</v>
      </c>
      <c r="S2" s="100" t="s">
        <v>81</v>
      </c>
      <c r="T2" s="100" t="s">
        <v>83</v>
      </c>
      <c r="U2" s="281" t="s">
        <v>82</v>
      </c>
      <c r="V2" s="281" t="s">
        <v>82</v>
      </c>
      <c r="W2" s="100" t="s">
        <v>88</v>
      </c>
      <c r="X2" s="100" t="s">
        <v>86</v>
      </c>
      <c r="Y2" s="100" t="s">
        <v>85</v>
      </c>
      <c r="Z2" s="100" t="s">
        <v>84</v>
      </c>
      <c r="AA2" s="100" t="s">
        <v>87</v>
      </c>
      <c r="AB2" s="100" t="s">
        <v>89</v>
      </c>
      <c r="AC2" s="100" t="s">
        <v>90</v>
      </c>
      <c r="AD2" s="100" t="s">
        <v>91</v>
      </c>
      <c r="AE2" s="100" t="s">
        <v>94</v>
      </c>
      <c r="AF2" s="100" t="s">
        <v>93</v>
      </c>
      <c r="AG2" s="100" t="s">
        <v>76</v>
      </c>
      <c r="AH2" s="100" t="s">
        <v>95</v>
      </c>
      <c r="AI2" s="281" t="s">
        <v>93</v>
      </c>
      <c r="AJ2" s="281" t="s">
        <v>93</v>
      </c>
      <c r="AK2" s="100" t="s">
        <v>76</v>
      </c>
      <c r="AL2" s="100" t="s">
        <v>93</v>
      </c>
      <c r="AM2" s="100" t="s">
        <v>93</v>
      </c>
      <c r="AN2" s="281" t="s">
        <v>96</v>
      </c>
      <c r="AO2" s="281" t="s">
        <v>96</v>
      </c>
      <c r="AP2" s="100" t="s">
        <v>99</v>
      </c>
      <c r="AQ2" s="100" t="s">
        <v>97</v>
      </c>
      <c r="AR2" s="100" t="s">
        <v>98</v>
      </c>
      <c r="AS2" s="100" t="s">
        <v>101</v>
      </c>
      <c r="AT2" s="100" t="s">
        <v>100</v>
      </c>
      <c r="AU2" s="100" t="s">
        <v>104</v>
      </c>
      <c r="AV2" s="100" t="s">
        <v>102</v>
      </c>
      <c r="AW2" s="100" t="s">
        <v>103</v>
      </c>
      <c r="AX2" s="100" t="s">
        <v>105</v>
      </c>
      <c r="AY2" s="100" t="s">
        <v>106</v>
      </c>
      <c r="AZ2" s="100" t="s">
        <v>108</v>
      </c>
      <c r="BA2" s="100" t="s">
        <v>107</v>
      </c>
      <c r="BB2" s="100" t="s">
        <v>109</v>
      </c>
      <c r="BC2" s="100" t="s">
        <v>93</v>
      </c>
      <c r="BD2" s="100" t="s">
        <v>92</v>
      </c>
      <c r="BE2" s="100" t="s">
        <v>278</v>
      </c>
      <c r="BF2" s="100" t="s">
        <v>110</v>
      </c>
      <c r="BG2" s="100" t="s">
        <v>111</v>
      </c>
      <c r="BH2" s="100" t="s">
        <v>112</v>
      </c>
      <c r="BI2" s="100" t="s">
        <v>113</v>
      </c>
      <c r="BK2" s="100" t="s">
        <v>525</v>
      </c>
      <c r="BL2" s="100"/>
      <c r="BM2" s="273" t="s">
        <v>531</v>
      </c>
      <c r="BN2" s="273" t="s">
        <v>531</v>
      </c>
      <c r="BO2" s="100"/>
    </row>
    <row r="3" spans="1:67" ht="15" customHeight="1">
      <c r="A3" s="247"/>
      <c r="B3" s="108" t="s">
        <v>254</v>
      </c>
      <c r="C3" s="108" t="s">
        <v>254</v>
      </c>
      <c r="D3" s="108" t="s">
        <v>254</v>
      </c>
      <c r="E3" s="108" t="s">
        <v>254</v>
      </c>
      <c r="F3" s="100" t="s">
        <v>120</v>
      </c>
      <c r="G3" s="107"/>
      <c r="H3" s="107"/>
      <c r="I3" s="281" t="s">
        <v>92</v>
      </c>
      <c r="J3" s="281"/>
      <c r="K3" s="100" t="s">
        <v>256</v>
      </c>
      <c r="L3" s="100" t="s">
        <v>119</v>
      </c>
      <c r="M3" s="281" t="s">
        <v>120</v>
      </c>
      <c r="N3" s="281" t="s">
        <v>120</v>
      </c>
      <c r="O3" s="100" t="s">
        <v>92</v>
      </c>
      <c r="P3" s="107"/>
      <c r="Q3" s="281" t="s">
        <v>92</v>
      </c>
      <c r="R3" s="281" t="s">
        <v>92</v>
      </c>
      <c r="S3" s="100" t="s">
        <v>118</v>
      </c>
      <c r="T3" s="100" t="s">
        <v>55</v>
      </c>
      <c r="U3" s="281" t="s">
        <v>121</v>
      </c>
      <c r="V3" s="281" t="s">
        <v>121</v>
      </c>
      <c r="W3" s="100" t="s">
        <v>257</v>
      </c>
      <c r="X3" s="100" t="s">
        <v>123</v>
      </c>
      <c r="Y3" s="100" t="s">
        <v>122</v>
      </c>
      <c r="Z3" s="100" t="s">
        <v>55</v>
      </c>
      <c r="AA3" s="100" t="s">
        <v>258</v>
      </c>
      <c r="AB3" s="100" t="s">
        <v>126</v>
      </c>
      <c r="AC3" s="100" t="s">
        <v>256</v>
      </c>
      <c r="AD3" s="100" t="s">
        <v>127</v>
      </c>
      <c r="AE3" s="100" t="s">
        <v>129</v>
      </c>
      <c r="AF3" s="100" t="s">
        <v>128</v>
      </c>
      <c r="AG3" s="100" t="s">
        <v>92</v>
      </c>
      <c r="AH3" s="100"/>
      <c r="AI3" s="281" t="s">
        <v>136</v>
      </c>
      <c r="AJ3" s="281" t="s">
        <v>136</v>
      </c>
      <c r="AK3" s="100" t="s">
        <v>92</v>
      </c>
      <c r="AL3" s="100" t="s">
        <v>131</v>
      </c>
      <c r="AM3" s="100" t="s">
        <v>133</v>
      </c>
      <c r="AN3" s="281" t="s">
        <v>259</v>
      </c>
      <c r="AO3" s="281" t="s">
        <v>259</v>
      </c>
      <c r="AP3" s="100"/>
      <c r="AQ3" s="100" t="s">
        <v>134</v>
      </c>
      <c r="AR3" s="100" t="s">
        <v>135</v>
      </c>
      <c r="AS3" s="100" t="s">
        <v>250</v>
      </c>
      <c r="AT3" s="100" t="s">
        <v>137</v>
      </c>
      <c r="AU3" s="100" t="s">
        <v>134</v>
      </c>
      <c r="AV3" s="100" t="s">
        <v>138</v>
      </c>
      <c r="AW3" s="100" t="s">
        <v>139</v>
      </c>
      <c r="AX3" s="100" t="s">
        <v>141</v>
      </c>
      <c r="AY3" s="100" t="s">
        <v>142</v>
      </c>
      <c r="AZ3" s="100" t="s">
        <v>143</v>
      </c>
      <c r="BA3" s="100" t="s">
        <v>95</v>
      </c>
      <c r="BB3" s="100" t="s">
        <v>144</v>
      </c>
      <c r="BC3" s="100" t="s">
        <v>145</v>
      </c>
      <c r="BD3" s="100" t="s">
        <v>146</v>
      </c>
      <c r="BE3" s="100" t="s">
        <v>277</v>
      </c>
      <c r="BF3" s="100" t="s">
        <v>147</v>
      </c>
      <c r="BG3" s="100" t="s">
        <v>148</v>
      </c>
      <c r="BH3" s="100" t="s">
        <v>149</v>
      </c>
      <c r="BI3" s="100" t="s">
        <v>150</v>
      </c>
      <c r="BK3" s="100"/>
      <c r="BL3" s="100"/>
      <c r="BM3" s="273" t="s">
        <v>532</v>
      </c>
      <c r="BN3" s="273" t="s">
        <v>532</v>
      </c>
      <c r="BO3" s="100"/>
    </row>
    <row r="4" spans="1:67" s="105" customFormat="1" ht="15" customHeight="1">
      <c r="A4" s="247"/>
      <c r="B4" s="285" t="s">
        <v>233</v>
      </c>
      <c r="C4" s="285"/>
      <c r="D4" s="285"/>
      <c r="E4" s="285"/>
      <c r="F4" s="104" t="s">
        <v>151</v>
      </c>
      <c r="G4" s="104" t="s">
        <v>156</v>
      </c>
      <c r="H4" s="104" t="s">
        <v>157</v>
      </c>
      <c r="I4" s="284" t="s">
        <v>160</v>
      </c>
      <c r="J4" s="284"/>
      <c r="K4" s="104" t="s">
        <v>161</v>
      </c>
      <c r="L4" s="104" t="s">
        <v>162</v>
      </c>
      <c r="M4" s="284" t="s">
        <v>163</v>
      </c>
      <c r="N4" s="284"/>
      <c r="O4" s="104" t="s">
        <v>164</v>
      </c>
      <c r="P4" s="104" t="s">
        <v>165</v>
      </c>
      <c r="Q4" s="281" t="s">
        <v>166</v>
      </c>
      <c r="R4" s="281" t="s">
        <v>166</v>
      </c>
      <c r="S4" s="104" t="s">
        <v>167</v>
      </c>
      <c r="T4" s="104" t="s">
        <v>168</v>
      </c>
      <c r="U4" s="281" t="s">
        <v>169</v>
      </c>
      <c r="V4" s="281" t="s">
        <v>169</v>
      </c>
      <c r="W4" s="104" t="s">
        <v>170</v>
      </c>
      <c r="X4" s="104" t="s">
        <v>171</v>
      </c>
      <c r="Y4" s="104" t="s">
        <v>172</v>
      </c>
      <c r="Z4" s="104" t="s">
        <v>173</v>
      </c>
      <c r="AA4" s="104" t="s">
        <v>174</v>
      </c>
      <c r="AB4" s="104" t="s">
        <v>175</v>
      </c>
      <c r="AC4" s="104" t="s">
        <v>176</v>
      </c>
      <c r="AD4" s="104" t="s">
        <v>177</v>
      </c>
      <c r="AE4" s="104" t="s">
        <v>178</v>
      </c>
      <c r="AF4" s="104" t="s">
        <v>179</v>
      </c>
      <c r="AG4" s="104" t="s">
        <v>180</v>
      </c>
      <c r="AH4" s="104" t="s">
        <v>181</v>
      </c>
      <c r="AI4" s="282" t="s">
        <v>182</v>
      </c>
      <c r="AJ4" s="282" t="s">
        <v>183</v>
      </c>
      <c r="AK4" s="104" t="s">
        <v>183</v>
      </c>
      <c r="AL4" s="104" t="s">
        <v>184</v>
      </c>
      <c r="AM4" s="104" t="s">
        <v>185</v>
      </c>
      <c r="AN4" s="282" t="s">
        <v>186</v>
      </c>
      <c r="AO4" s="283"/>
      <c r="AP4" s="104" t="s">
        <v>187</v>
      </c>
      <c r="AQ4" s="104" t="s">
        <v>190</v>
      </c>
      <c r="AR4" s="104" t="s">
        <v>191</v>
      </c>
      <c r="AS4" s="104" t="s">
        <v>192</v>
      </c>
      <c r="AT4" s="104" t="s">
        <v>193</v>
      </c>
      <c r="AU4" s="104" t="s">
        <v>194</v>
      </c>
      <c r="AV4" s="104" t="s">
        <v>196</v>
      </c>
      <c r="AW4" s="104" t="s">
        <v>197</v>
      </c>
      <c r="AX4" s="104" t="s">
        <v>198</v>
      </c>
      <c r="AY4" s="104" t="s">
        <v>199</v>
      </c>
      <c r="AZ4" s="104" t="s">
        <v>200</v>
      </c>
      <c r="BA4" s="104" t="s">
        <v>201</v>
      </c>
      <c r="BB4" s="104" t="s">
        <v>202</v>
      </c>
      <c r="BC4" s="104" t="s">
        <v>203</v>
      </c>
      <c r="BD4" s="104" t="s">
        <v>204</v>
      </c>
      <c r="BE4" s="104" t="s">
        <v>205</v>
      </c>
      <c r="BF4" s="104" t="s">
        <v>206</v>
      </c>
      <c r="BG4" s="104" t="s">
        <v>207</v>
      </c>
      <c r="BH4" s="104" t="s">
        <v>208</v>
      </c>
      <c r="BI4" s="104" t="s">
        <v>209</v>
      </c>
      <c r="BK4" s="100"/>
      <c r="BL4" s="100"/>
      <c r="BM4" s="100"/>
      <c r="BN4" s="100"/>
      <c r="BO4" s="100"/>
    </row>
    <row r="5" spans="2:67" s="46" customFormat="1" ht="15" customHeight="1">
      <c r="B5" s="47" t="s">
        <v>153</v>
      </c>
      <c r="C5" s="47" t="s">
        <v>152</v>
      </c>
      <c r="D5" s="47" t="s">
        <v>116</v>
      </c>
      <c r="E5" s="47" t="s">
        <v>117</v>
      </c>
      <c r="F5" s="47"/>
      <c r="G5" s="47"/>
      <c r="H5" s="47"/>
      <c r="I5" s="47" t="s">
        <v>158</v>
      </c>
      <c r="J5" s="47" t="s">
        <v>159</v>
      </c>
      <c r="K5" s="47"/>
      <c r="L5" s="47"/>
      <c r="M5" s="47" t="s">
        <v>58</v>
      </c>
      <c r="N5" s="47" t="s">
        <v>158</v>
      </c>
      <c r="O5" s="47"/>
      <c r="P5" s="47"/>
      <c r="Q5" s="47" t="s">
        <v>158</v>
      </c>
      <c r="R5" s="47" t="s">
        <v>59</v>
      </c>
      <c r="S5" s="47" t="s">
        <v>221</v>
      </c>
      <c r="T5" s="47"/>
      <c r="U5" s="47" t="s">
        <v>264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 t="s">
        <v>153</v>
      </c>
      <c r="AJ5" s="47" t="s">
        <v>195</v>
      </c>
      <c r="AK5" s="47"/>
      <c r="AL5" s="47"/>
      <c r="AM5" s="47"/>
      <c r="AN5" s="47" t="s">
        <v>188</v>
      </c>
      <c r="AO5" s="47" t="s">
        <v>189</v>
      </c>
      <c r="AP5" s="47"/>
      <c r="AQ5" s="47"/>
      <c r="AR5" s="47"/>
      <c r="AS5" s="29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K5" s="47" t="s">
        <v>526</v>
      </c>
      <c r="BL5" s="47"/>
      <c r="BM5" s="47" t="s">
        <v>527</v>
      </c>
      <c r="BN5" s="47" t="s">
        <v>528</v>
      </c>
      <c r="BO5" s="47"/>
    </row>
    <row r="6" spans="1:67" s="46" customFormat="1" ht="15" customHeight="1">
      <c r="A6" s="247"/>
      <c r="B6" s="35"/>
      <c r="C6" s="35"/>
      <c r="D6" s="47" t="s">
        <v>154</v>
      </c>
      <c r="E6" s="47" t="s">
        <v>155</v>
      </c>
      <c r="F6" s="47"/>
      <c r="G6" s="47"/>
      <c r="H6" s="47"/>
      <c r="I6" s="47"/>
      <c r="J6" s="47" t="s">
        <v>155</v>
      </c>
      <c r="K6" s="47"/>
      <c r="L6" s="47"/>
      <c r="M6" s="47" t="s">
        <v>155</v>
      </c>
      <c r="N6" s="47"/>
      <c r="O6" s="47"/>
      <c r="P6" s="47"/>
      <c r="Q6" s="47"/>
      <c r="R6" s="47" t="s">
        <v>155</v>
      </c>
      <c r="S6" s="47" t="s">
        <v>155</v>
      </c>
      <c r="T6" s="47"/>
      <c r="U6" s="47" t="s">
        <v>272</v>
      </c>
      <c r="V6" s="47" t="s">
        <v>273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K6" s="35"/>
      <c r="BL6" s="35"/>
      <c r="BM6" s="35"/>
      <c r="BN6" s="35"/>
      <c r="BO6" s="35"/>
    </row>
    <row r="7" spans="2:67" s="46" customFormat="1" ht="15" customHeight="1">
      <c r="B7" s="35"/>
      <c r="C7" s="35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K7" s="35"/>
      <c r="BL7" s="35"/>
      <c r="BM7" s="35"/>
      <c r="BN7" s="35"/>
      <c r="BO7" s="35"/>
    </row>
    <row r="8" spans="1:67" s="46" customFormat="1" ht="15" customHeight="1">
      <c r="A8" s="226" t="s">
        <v>448</v>
      </c>
      <c r="B8" s="35"/>
      <c r="C8" s="35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K8" s="35"/>
      <c r="BL8" s="35"/>
      <c r="BM8" s="35"/>
      <c r="BN8" s="35"/>
      <c r="BO8" s="35"/>
    </row>
    <row r="9" spans="1:67" s="46" customFormat="1" ht="15" customHeight="1">
      <c r="A9" s="226" t="s">
        <v>449</v>
      </c>
      <c r="B9" s="35"/>
      <c r="C9" s="35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K9" s="35"/>
      <c r="BL9" s="35"/>
      <c r="BM9" s="35"/>
      <c r="BN9" s="35"/>
      <c r="BO9" s="35"/>
    </row>
    <row r="10" spans="1:67" s="46" customFormat="1" ht="15" customHeight="1" hidden="1">
      <c r="A10" s="246" t="s">
        <v>366</v>
      </c>
      <c r="B10" s="35"/>
      <c r="C10" s="3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K10" s="35"/>
      <c r="BL10" s="35"/>
      <c r="BM10" s="35"/>
      <c r="BN10" s="35"/>
      <c r="BO10" s="35"/>
    </row>
    <row r="11" spans="1:67" ht="15" customHeight="1" hidden="1">
      <c r="A11" s="247" t="s">
        <v>367</v>
      </c>
      <c r="B11" s="30">
        <v>1643715.531</v>
      </c>
      <c r="C11" s="30">
        <v>870005</v>
      </c>
      <c r="D11" s="30">
        <v>10775</v>
      </c>
      <c r="E11" s="30">
        <v>1673</v>
      </c>
      <c r="F11" s="30">
        <v>2759904</v>
      </c>
      <c r="G11" s="30">
        <v>1177707.885</v>
      </c>
      <c r="H11" s="30">
        <v>878289</v>
      </c>
      <c r="I11" s="30">
        <v>935174.3</v>
      </c>
      <c r="J11" s="30">
        <v>97930</v>
      </c>
      <c r="K11" s="30">
        <v>602601</v>
      </c>
      <c r="L11" s="132">
        <v>554373</v>
      </c>
      <c r="M11" s="30">
        <v>77686</v>
      </c>
      <c r="N11" s="30">
        <v>177493</v>
      </c>
      <c r="O11" s="30">
        <v>810176</v>
      </c>
      <c r="P11" s="30">
        <v>538886</v>
      </c>
      <c r="Q11" s="132">
        <v>142808</v>
      </c>
      <c r="R11" s="132">
        <v>115594</v>
      </c>
      <c r="S11" s="30">
        <v>375550.288</v>
      </c>
      <c r="T11" s="30">
        <v>315926</v>
      </c>
      <c r="U11" s="30">
        <v>243815</v>
      </c>
      <c r="V11" s="30">
        <v>0</v>
      </c>
      <c r="W11" s="30">
        <v>255289.457</v>
      </c>
      <c r="X11" s="30">
        <v>369423.137</v>
      </c>
      <c r="Y11" s="30">
        <v>340115</v>
      </c>
      <c r="Z11" s="30">
        <v>136348</v>
      </c>
      <c r="AA11" s="30">
        <v>202430.8</v>
      </c>
      <c r="AB11" s="30">
        <v>82717</v>
      </c>
      <c r="AC11" s="30">
        <v>194513</v>
      </c>
      <c r="AD11" s="30">
        <v>81832</v>
      </c>
      <c r="AE11" s="30">
        <v>148602.4</v>
      </c>
      <c r="AF11" s="30">
        <v>24221.881</v>
      </c>
      <c r="AG11" s="30">
        <v>67159.469</v>
      </c>
      <c r="AH11" s="30">
        <v>134138.566</v>
      </c>
      <c r="AI11" s="30">
        <f>407447</f>
        <v>407447</v>
      </c>
      <c r="AJ11" s="30">
        <f>38877</f>
        <v>38877</v>
      </c>
      <c r="AK11" s="30">
        <v>44433</v>
      </c>
      <c r="AL11" s="30">
        <f>143015</f>
        <v>143015</v>
      </c>
      <c r="AM11" s="30">
        <v>0</v>
      </c>
      <c r="AN11" s="30">
        <v>0</v>
      </c>
      <c r="AO11" s="30">
        <v>0</v>
      </c>
      <c r="AP11" s="30">
        <v>43804</v>
      </c>
      <c r="AQ11" s="30">
        <v>0</v>
      </c>
      <c r="AR11" s="30">
        <v>34887</v>
      </c>
      <c r="AS11" s="30">
        <v>18311.714</v>
      </c>
      <c r="AT11" s="30">
        <v>0</v>
      </c>
      <c r="AU11" s="30">
        <v>29153</v>
      </c>
      <c r="AV11" s="30">
        <v>21380.309</v>
      </c>
      <c r="AW11" s="30">
        <v>0</v>
      </c>
      <c r="AX11" s="30">
        <v>22362</v>
      </c>
      <c r="AY11" s="30">
        <v>7445</v>
      </c>
      <c r="AZ11" s="30">
        <v>-11</v>
      </c>
      <c r="BA11" s="30">
        <v>0</v>
      </c>
      <c r="BB11" s="30">
        <v>12732</v>
      </c>
      <c r="BC11" s="30">
        <v>0</v>
      </c>
      <c r="BD11" s="30">
        <v>0</v>
      </c>
      <c r="BE11" s="30">
        <f>3100</f>
        <v>3100</v>
      </c>
      <c r="BF11" s="30">
        <f>1997</f>
        <v>1997</v>
      </c>
      <c r="BG11" s="30">
        <v>0</v>
      </c>
      <c r="BH11" s="30">
        <v>4719.356</v>
      </c>
      <c r="BI11" s="30">
        <v>0</v>
      </c>
      <c r="BK11" s="29">
        <f>SUM(B11:BI11)</f>
        <v>15200525.093</v>
      </c>
      <c r="BL11" s="29"/>
      <c r="BM11" s="29">
        <f>+C11+D11+E11+AB11+AI11+AL11+AM11+AO11+AS11+AV11+AX11+AY11+BB11+BE11+BF11+BG11+BH11</f>
        <v>1607679.3789999997</v>
      </c>
      <c r="BN11" s="29">
        <f>+B11+SUM(F11:AA11)+AC11+AD11+AE11+AF11+AG11+AH11+AJ11+AK11+AN11+AP11+AQ11+AR11+AT11+AU11+AW11+AZ11+BA11+BC11+BD11+BI11</f>
        <v>13592845.714</v>
      </c>
      <c r="BO11" s="30"/>
    </row>
    <row r="12" spans="1:67" ht="15" customHeight="1" hidden="1">
      <c r="A12" s="247" t="s">
        <v>368</v>
      </c>
      <c r="B12" s="30">
        <v>4725682.153</v>
      </c>
      <c r="C12" s="30">
        <v>1467197</v>
      </c>
      <c r="D12" s="30">
        <v>16162</v>
      </c>
      <c r="E12" s="30">
        <v>2510</v>
      </c>
      <c r="F12" s="30">
        <v>4158856</v>
      </c>
      <c r="G12" s="30">
        <v>1766561.828</v>
      </c>
      <c r="H12" s="30">
        <v>1317261</v>
      </c>
      <c r="I12" s="30">
        <v>1403806.3</v>
      </c>
      <c r="J12" s="30">
        <v>146897</v>
      </c>
      <c r="K12" s="30">
        <v>886522</v>
      </c>
      <c r="L12" s="132">
        <v>831557</v>
      </c>
      <c r="M12" s="30">
        <v>284685</v>
      </c>
      <c r="N12" s="30">
        <v>266454</v>
      </c>
      <c r="O12" s="30">
        <v>1213811</v>
      </c>
      <c r="P12" s="30">
        <v>825169</v>
      </c>
      <c r="Q12" s="132">
        <v>214209</v>
      </c>
      <c r="R12" s="132">
        <v>173388</v>
      </c>
      <c r="S12" s="30">
        <v>563325.431</v>
      </c>
      <c r="T12" s="30">
        <v>434885</v>
      </c>
      <c r="U12" s="30">
        <v>356919</v>
      </c>
      <c r="V12" s="30">
        <v>0</v>
      </c>
      <c r="W12" s="30">
        <v>392827.518</v>
      </c>
      <c r="X12" s="30">
        <v>691447.339</v>
      </c>
      <c r="Y12" s="30">
        <v>510172</v>
      </c>
      <c r="Z12" s="30">
        <v>228883</v>
      </c>
      <c r="AA12" s="30">
        <v>308766</v>
      </c>
      <c r="AB12" s="30">
        <v>138057</v>
      </c>
      <c r="AC12" s="30">
        <v>290504</v>
      </c>
      <c r="AD12" s="30">
        <v>327330</v>
      </c>
      <c r="AE12" s="30">
        <v>222787.4</v>
      </c>
      <c r="AF12" s="30">
        <v>89960.66</v>
      </c>
      <c r="AG12" s="30">
        <v>100659.279</v>
      </c>
      <c r="AH12" s="30">
        <v>201207.849</v>
      </c>
      <c r="AI12" s="30">
        <f>1171480</f>
        <v>1171480</v>
      </c>
      <c r="AJ12" s="30">
        <f>74183</f>
        <v>74183</v>
      </c>
      <c r="AK12" s="30">
        <v>69723</v>
      </c>
      <c r="AL12" s="30">
        <f>400963</f>
        <v>400963</v>
      </c>
      <c r="AM12" s="30">
        <v>271490</v>
      </c>
      <c r="AN12" s="30">
        <v>0</v>
      </c>
      <c r="AO12" s="30">
        <v>0</v>
      </c>
      <c r="AP12" s="30">
        <v>64185</v>
      </c>
      <c r="AQ12" s="30">
        <v>0</v>
      </c>
      <c r="AR12" s="30">
        <v>51887</v>
      </c>
      <c r="AS12" s="30">
        <v>27396.672</v>
      </c>
      <c r="AT12" s="30">
        <v>0</v>
      </c>
      <c r="AU12" s="30">
        <v>0</v>
      </c>
      <c r="AV12" s="30">
        <v>50074.882</v>
      </c>
      <c r="AW12" s="30">
        <v>0</v>
      </c>
      <c r="AX12" s="30">
        <v>103395</v>
      </c>
      <c r="AY12" s="30">
        <v>11167</v>
      </c>
      <c r="AZ12" s="30">
        <v>0</v>
      </c>
      <c r="BA12" s="30">
        <v>0</v>
      </c>
      <c r="BB12" s="30">
        <v>19097</v>
      </c>
      <c r="BC12" s="30">
        <v>0</v>
      </c>
      <c r="BD12" s="30">
        <v>0</v>
      </c>
      <c r="BE12" s="30">
        <v>4651</v>
      </c>
      <c r="BF12" s="30">
        <f>2996</f>
        <v>2996</v>
      </c>
      <c r="BG12" s="30">
        <v>0</v>
      </c>
      <c r="BH12" s="30">
        <v>7079.034</v>
      </c>
      <c r="BI12" s="30">
        <v>0</v>
      </c>
      <c r="BK12" s="29">
        <f aca="true" t="shared" si="0" ref="BK12:BK72">SUM(B12:BI12)</f>
        <v>26888227.345000003</v>
      </c>
      <c r="BL12" s="29"/>
      <c r="BM12" s="29">
        <f>+C12+D12+E12+AB12+AI12+AL12+AM12+AO12+AS12+AV12+AX12+AY12+BB12+BE12+BF12+BG12+BH12</f>
        <v>3693715.588</v>
      </c>
      <c r="BN12" s="29">
        <f>+B12+SUM(F12:AA12)+AC12+AD12+AE12+AF12+AG12+AH12+AJ12+AK12+AN12+AP12+AQ12+AR12+AT12+AU12+AW12+AZ12+BA12+BC12+BD12+BI12</f>
        <v>23194511.757</v>
      </c>
      <c r="BO12" s="30"/>
    </row>
    <row r="13" spans="1:67" ht="15" customHeight="1" hidden="1">
      <c r="A13" s="247" t="s">
        <v>369</v>
      </c>
      <c r="B13" s="30">
        <v>1234.321</v>
      </c>
      <c r="C13" s="30">
        <v>7921</v>
      </c>
      <c r="D13" s="30">
        <v>0</v>
      </c>
      <c r="E13" s="30">
        <v>0</v>
      </c>
      <c r="F13" s="30">
        <v>0</v>
      </c>
      <c r="G13" s="30">
        <v>-42729.462</v>
      </c>
      <c r="H13" s="30">
        <v>3359</v>
      </c>
      <c r="I13" s="30">
        <v>1360</v>
      </c>
      <c r="J13" s="30">
        <v>-2021</v>
      </c>
      <c r="K13" s="30">
        <v>-6320</v>
      </c>
      <c r="L13" s="132">
        <v>-29508</v>
      </c>
      <c r="M13" s="30">
        <v>-471</v>
      </c>
      <c r="N13" s="30">
        <v>556</v>
      </c>
      <c r="O13" s="30">
        <v>-1212746</v>
      </c>
      <c r="P13" s="30">
        <v>2921</v>
      </c>
      <c r="Q13" s="132">
        <v>-5195</v>
      </c>
      <c r="R13" s="132">
        <v>0</v>
      </c>
      <c r="S13" s="30">
        <v>-12361.853</v>
      </c>
      <c r="T13" s="30">
        <v>167</v>
      </c>
      <c r="U13" s="30">
        <v>-1499</v>
      </c>
      <c r="V13" s="30">
        <v>0</v>
      </c>
      <c r="W13" s="30">
        <v>-137052.044</v>
      </c>
      <c r="X13" s="30">
        <v>16564.459</v>
      </c>
      <c r="Y13" s="30">
        <v>-1460</v>
      </c>
      <c r="Z13" s="30">
        <v>3993</v>
      </c>
      <c r="AA13" s="30">
        <v>-1018.8</v>
      </c>
      <c r="AB13" s="30">
        <v>1674</v>
      </c>
      <c r="AC13" s="30">
        <f>-10998-839</f>
        <v>-11837</v>
      </c>
      <c r="AD13" s="30">
        <v>0</v>
      </c>
      <c r="AE13" s="30">
        <v>-103109</v>
      </c>
      <c r="AF13" s="30">
        <v>0</v>
      </c>
      <c r="AG13" s="30">
        <v>-373.397</v>
      </c>
      <c r="AH13" s="30">
        <v>-8704.158</v>
      </c>
      <c r="AI13" s="30">
        <f>1146</f>
        <v>1146</v>
      </c>
      <c r="AJ13" s="30">
        <f>-598</f>
        <v>-598</v>
      </c>
      <c r="AK13" s="30">
        <v>0</v>
      </c>
      <c r="AL13" s="30">
        <f>381786+403310</f>
        <v>785096</v>
      </c>
      <c r="AM13" s="30">
        <v>-15135</v>
      </c>
      <c r="AN13" s="30">
        <v>-643</v>
      </c>
      <c r="AO13" s="30">
        <v>0</v>
      </c>
      <c r="AP13" s="30">
        <v>-6601.6</v>
      </c>
      <c r="AQ13" s="30">
        <v>15</v>
      </c>
      <c r="AR13" s="30">
        <v>-222</v>
      </c>
      <c r="AS13" s="30">
        <v>265.091</v>
      </c>
      <c r="AT13" s="30">
        <v>0</v>
      </c>
      <c r="AU13" s="30">
        <v>0</v>
      </c>
      <c r="AV13" s="30">
        <v>379.926</v>
      </c>
      <c r="AW13" s="30">
        <v>-162</v>
      </c>
      <c r="AX13" s="30">
        <v>-408</v>
      </c>
      <c r="AY13" s="30">
        <v>0</v>
      </c>
      <c r="AZ13" s="30">
        <v>0</v>
      </c>
      <c r="BA13" s="30">
        <v>184.716</v>
      </c>
      <c r="BB13" s="30">
        <v>-118</v>
      </c>
      <c r="BC13" s="30">
        <v>0</v>
      </c>
      <c r="BD13" s="30">
        <v>0</v>
      </c>
      <c r="BE13" s="30">
        <v>-87</v>
      </c>
      <c r="BF13" s="30">
        <v>-11</v>
      </c>
      <c r="BG13" s="30">
        <v>0</v>
      </c>
      <c r="BH13" s="30">
        <v>-16.42</v>
      </c>
      <c r="BI13" s="30">
        <v>0</v>
      </c>
      <c r="BK13" s="29">
        <f t="shared" si="0"/>
        <v>-773571.2210000001</v>
      </c>
      <c r="BL13" s="29"/>
      <c r="BM13" s="29">
        <f>+C13+D13+E13+AB13+AI13+AL13+AM13+AO13+AS13+AV13+AX13+AY13+BB13+BE13+BF13+BG13+BH13</f>
        <v>780706.597</v>
      </c>
      <c r="BN13" s="29">
        <f>+B13+SUM(F13:AA13)+AC13+AD13+AE13+AF13+AG13+AH13+AJ13+AK13+AN13+AP13+AQ13+AR13+AT13+AU13+AW13+AZ13+BA13+BC13+BD13+BI13</f>
        <v>-1554277.8180000002</v>
      </c>
      <c r="BO13" s="30"/>
    </row>
    <row r="14" spans="1:67" ht="15" customHeight="1" hidden="1">
      <c r="A14" s="247" t="s">
        <v>370</v>
      </c>
      <c r="B14" s="30">
        <v>0</v>
      </c>
      <c r="C14" s="30">
        <v>14245684</v>
      </c>
      <c r="D14" s="30">
        <v>205327.4</v>
      </c>
      <c r="E14" s="30">
        <v>33530.5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42">
        <v>0</v>
      </c>
      <c r="N14" s="42">
        <v>0</v>
      </c>
      <c r="O14" s="30">
        <v>-398109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42">
        <v>1373713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f>-1032</f>
        <v>-1032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30">
        <v>37821.105</v>
      </c>
      <c r="AT14" s="30">
        <v>0</v>
      </c>
      <c r="AU14" s="30">
        <v>0</v>
      </c>
      <c r="AV14" s="30">
        <v>49829.69</v>
      </c>
      <c r="AW14" s="30">
        <v>11616</v>
      </c>
      <c r="AX14" s="30">
        <v>0</v>
      </c>
      <c r="AY14" s="30">
        <v>0</v>
      </c>
      <c r="AZ14" s="30">
        <v>0</v>
      </c>
      <c r="BA14" s="30">
        <v>0</v>
      </c>
      <c r="BB14" s="30">
        <v>29374</v>
      </c>
      <c r="BC14" s="30">
        <v>1494</v>
      </c>
      <c r="BD14" s="30">
        <v>0</v>
      </c>
      <c r="BE14" s="30">
        <v>20924</v>
      </c>
      <c r="BF14" s="30">
        <f>14433</f>
        <v>14433</v>
      </c>
      <c r="BG14" s="42">
        <v>129463</v>
      </c>
      <c r="BH14" s="30">
        <v>16539.12</v>
      </c>
      <c r="BI14" s="30">
        <v>0</v>
      </c>
      <c r="BK14" s="29">
        <f t="shared" si="0"/>
        <v>15770607.815</v>
      </c>
      <c r="BL14" s="29"/>
      <c r="BM14" s="29">
        <f>+C14+D14+E14+AB14+AI14+AL14+AM14+AO14+AS14+AV14+AX14+AY14+BB14+BE14+BF14+BG14+BH14</f>
        <v>16155606.815</v>
      </c>
      <c r="BN14" s="29">
        <f>+B14+SUM(F14:AA14)+AC14+AD14+AE14+AF14+AG14+AH14+AJ14+AK14+AN14+AP14+AQ14+AR14+AT14+AU14+AW14+AZ14+BA14+BC14+BD14+BI14</f>
        <v>-384999</v>
      </c>
      <c r="BO14" s="30"/>
    </row>
    <row r="15" spans="1:67" ht="15" customHeight="1" hidden="1">
      <c r="A15" s="247"/>
      <c r="L15" s="33"/>
      <c r="Q15" s="33"/>
      <c r="R15" s="33"/>
      <c r="W15" s="30"/>
      <c r="Y15" s="29"/>
      <c r="AB15" s="29"/>
      <c r="AH15" s="29"/>
      <c r="AM15" s="29"/>
      <c r="AP15" s="29"/>
      <c r="AR15" s="29"/>
      <c r="AY15" s="29"/>
      <c r="BC15" s="30"/>
      <c r="BG15" s="29"/>
      <c r="BK15" s="29">
        <f t="shared" si="0"/>
        <v>0</v>
      </c>
      <c r="BL15" s="29"/>
      <c r="BM15" s="29"/>
      <c r="BN15" s="29"/>
      <c r="BO15" s="30"/>
    </row>
    <row r="16" spans="1:67" ht="15" customHeight="1">
      <c r="A16" s="260" t="s">
        <v>366</v>
      </c>
      <c r="B16" s="29">
        <f>SUM(B11:B15)</f>
        <v>6370632.005000001</v>
      </c>
      <c r="C16" s="29">
        <f aca="true" t="shared" si="1" ref="C16:J16">SUM(C11:C15)</f>
        <v>16590807</v>
      </c>
      <c r="D16" s="29">
        <f t="shared" si="1"/>
        <v>232264.4</v>
      </c>
      <c r="E16" s="29">
        <f t="shared" si="1"/>
        <v>37713.5</v>
      </c>
      <c r="F16" s="29">
        <f t="shared" si="1"/>
        <v>6918760</v>
      </c>
      <c r="G16" s="29">
        <f t="shared" si="1"/>
        <v>2901540.251</v>
      </c>
      <c r="H16" s="29">
        <f t="shared" si="1"/>
        <v>2198909</v>
      </c>
      <c r="I16" s="29">
        <f t="shared" si="1"/>
        <v>2340340.6</v>
      </c>
      <c r="J16" s="29">
        <f t="shared" si="1"/>
        <v>242806</v>
      </c>
      <c r="K16" s="29">
        <f aca="true" t="shared" si="2" ref="K16:AP16">SUM(K11:K15)</f>
        <v>1482803</v>
      </c>
      <c r="L16" s="29">
        <f t="shared" si="2"/>
        <v>1356422</v>
      </c>
      <c r="M16" s="29">
        <f t="shared" si="2"/>
        <v>361900</v>
      </c>
      <c r="N16" s="29">
        <f t="shared" si="2"/>
        <v>444503</v>
      </c>
      <c r="O16" s="29">
        <f t="shared" si="2"/>
        <v>413132</v>
      </c>
      <c r="P16" s="29">
        <f t="shared" si="2"/>
        <v>1366976</v>
      </c>
      <c r="Q16" s="29">
        <f t="shared" si="2"/>
        <v>351822</v>
      </c>
      <c r="R16" s="29">
        <f t="shared" si="2"/>
        <v>288982</v>
      </c>
      <c r="S16" s="29">
        <f t="shared" si="2"/>
        <v>926513.866</v>
      </c>
      <c r="T16" s="29">
        <f t="shared" si="2"/>
        <v>750978</v>
      </c>
      <c r="U16" s="29">
        <f t="shared" si="2"/>
        <v>599235</v>
      </c>
      <c r="V16" s="29">
        <f t="shared" si="2"/>
        <v>0</v>
      </c>
      <c r="W16" s="29">
        <f t="shared" si="2"/>
        <v>511064.931</v>
      </c>
      <c r="X16" s="29">
        <f t="shared" si="2"/>
        <v>1077434.935</v>
      </c>
      <c r="Y16" s="29">
        <f t="shared" si="2"/>
        <v>848827</v>
      </c>
      <c r="Z16" s="29">
        <f t="shared" si="2"/>
        <v>369224</v>
      </c>
      <c r="AA16" s="29">
        <f t="shared" si="2"/>
        <v>510178</v>
      </c>
      <c r="AB16" s="29">
        <f t="shared" si="2"/>
        <v>1596161</v>
      </c>
      <c r="AC16" s="29">
        <f t="shared" si="2"/>
        <v>473180</v>
      </c>
      <c r="AD16" s="29">
        <f t="shared" si="2"/>
        <v>409162</v>
      </c>
      <c r="AE16" s="29">
        <f t="shared" si="2"/>
        <v>268280.8</v>
      </c>
      <c r="AF16" s="29">
        <f>SUM(AF11:AF15)</f>
        <v>114182.541</v>
      </c>
      <c r="AG16" s="29">
        <f t="shared" si="2"/>
        <v>167445.351</v>
      </c>
      <c r="AH16" s="29">
        <f t="shared" si="2"/>
        <v>326642.257</v>
      </c>
      <c r="AI16" s="29">
        <f t="shared" si="2"/>
        <v>1580073</v>
      </c>
      <c r="AJ16" s="29">
        <f t="shared" si="2"/>
        <v>112462</v>
      </c>
      <c r="AK16" s="29">
        <f t="shared" si="2"/>
        <v>114156</v>
      </c>
      <c r="AL16" s="29">
        <f t="shared" si="2"/>
        <v>1328042</v>
      </c>
      <c r="AM16" s="29">
        <f t="shared" si="2"/>
        <v>256355</v>
      </c>
      <c r="AN16" s="29">
        <f t="shared" si="2"/>
        <v>-643</v>
      </c>
      <c r="AO16" s="29">
        <f t="shared" si="2"/>
        <v>0</v>
      </c>
      <c r="AP16" s="29">
        <f t="shared" si="2"/>
        <v>101387.4</v>
      </c>
      <c r="AQ16" s="29">
        <f aca="true" t="shared" si="3" ref="AQ16:BI16">SUM(AQ11:AQ15)</f>
        <v>15</v>
      </c>
      <c r="AR16" s="29">
        <f t="shared" si="3"/>
        <v>86552</v>
      </c>
      <c r="AS16" s="29">
        <f t="shared" si="3"/>
        <v>83794.582</v>
      </c>
      <c r="AT16" s="29">
        <f t="shared" si="3"/>
        <v>0</v>
      </c>
      <c r="AU16" s="29">
        <f t="shared" si="3"/>
        <v>29153</v>
      </c>
      <c r="AV16" s="29">
        <f t="shared" si="3"/>
        <v>121664.807</v>
      </c>
      <c r="AW16" s="29">
        <f t="shared" si="3"/>
        <v>11454</v>
      </c>
      <c r="AX16" s="29">
        <f t="shared" si="3"/>
        <v>125349</v>
      </c>
      <c r="AY16" s="29">
        <f t="shared" si="3"/>
        <v>18612</v>
      </c>
      <c r="AZ16" s="29">
        <f t="shared" si="3"/>
        <v>-11</v>
      </c>
      <c r="BA16" s="29">
        <f t="shared" si="3"/>
        <v>184.716</v>
      </c>
      <c r="BB16" s="29">
        <f t="shared" si="3"/>
        <v>61085</v>
      </c>
      <c r="BC16" s="29">
        <f t="shared" si="3"/>
        <v>1494</v>
      </c>
      <c r="BD16" s="29">
        <f t="shared" si="3"/>
        <v>0</v>
      </c>
      <c r="BE16" s="29">
        <f t="shared" si="3"/>
        <v>28588</v>
      </c>
      <c r="BF16" s="29">
        <f t="shared" si="3"/>
        <v>19415</v>
      </c>
      <c r="BG16" s="29">
        <f t="shared" si="3"/>
        <v>129463</v>
      </c>
      <c r="BH16" s="29">
        <f t="shared" si="3"/>
        <v>28321.089999999997</v>
      </c>
      <c r="BI16" s="29">
        <f t="shared" si="3"/>
        <v>0</v>
      </c>
      <c r="BK16" s="29">
        <f t="shared" si="0"/>
        <v>57085789.032000005</v>
      </c>
      <c r="BL16" s="29"/>
      <c r="BM16" s="29">
        <f aca="true" t="shared" si="4" ref="BM16:BM46">+C16+D16+E16+AB16+AI16+AL16+AM16+AO16+AS16+AV16+AX16+AY16+BB16+BE16+BF16+BG16+BH16</f>
        <v>22237708.378999997</v>
      </c>
      <c r="BN16" s="29">
        <f aca="true" t="shared" si="5" ref="BN16:BN46">+B16+SUM(F16:AA16)+AC16+AD16+AE16+AF16+AG16+AH16+AJ16+AK16+AN16+AP16+AQ16+AR16+AT16+AU16+AW16+AZ16+BA16+BC16+BD16+BI16</f>
        <v>34848080.653</v>
      </c>
      <c r="BO16" s="30"/>
    </row>
    <row r="17" spans="1:67" ht="15" customHeight="1" hidden="1">
      <c r="A17" s="250"/>
      <c r="L17" s="33"/>
      <c r="Q17" s="33"/>
      <c r="R17" s="33"/>
      <c r="T17" s="42">
        <v>0</v>
      </c>
      <c r="W17" s="30">
        <v>0</v>
      </c>
      <c r="X17" s="42">
        <v>0</v>
      </c>
      <c r="BK17" s="29">
        <f t="shared" si="0"/>
        <v>0</v>
      </c>
      <c r="BL17" s="29"/>
      <c r="BM17" s="29"/>
      <c r="BN17" s="29"/>
      <c r="BO17" s="30"/>
    </row>
    <row r="18" spans="1:67" ht="15" customHeight="1" hidden="1">
      <c r="A18" s="246" t="s">
        <v>371</v>
      </c>
      <c r="L18" s="33"/>
      <c r="Q18" s="33"/>
      <c r="R18" s="33"/>
      <c r="T18" s="42">
        <v>0</v>
      </c>
      <c r="W18" s="30">
        <v>0</v>
      </c>
      <c r="X18" s="42">
        <v>0</v>
      </c>
      <c r="Y18" s="30"/>
      <c r="AB18" s="30"/>
      <c r="AH18" s="30"/>
      <c r="AM18" s="30"/>
      <c r="AP18" s="30"/>
      <c r="AR18" s="30"/>
      <c r="AY18" s="30"/>
      <c r="BG18" s="30"/>
      <c r="BK18" s="29">
        <f t="shared" si="0"/>
        <v>0</v>
      </c>
      <c r="BL18" s="29"/>
      <c r="BM18" s="29"/>
      <c r="BN18" s="29"/>
      <c r="BO18" s="30"/>
    </row>
    <row r="19" spans="1:67" ht="15" customHeight="1" hidden="1">
      <c r="A19" s="247" t="s">
        <v>372</v>
      </c>
      <c r="B19" s="30">
        <v>77003.124</v>
      </c>
      <c r="C19" s="30">
        <v>8820811</v>
      </c>
      <c r="D19" s="30">
        <v>195540</v>
      </c>
      <c r="E19" s="30">
        <v>30385.5</v>
      </c>
      <c r="F19" s="30">
        <v>2082993</v>
      </c>
      <c r="G19" s="30">
        <v>1988485.214</v>
      </c>
      <c r="H19" s="30">
        <v>1153872</v>
      </c>
      <c r="I19" s="30">
        <v>1457524.3</v>
      </c>
      <c r="J19" s="30">
        <v>485</v>
      </c>
      <c r="K19" s="30">
        <v>986451</v>
      </c>
      <c r="L19" s="132">
        <v>274216</v>
      </c>
      <c r="M19" s="30">
        <v>569298</v>
      </c>
      <c r="N19" s="30">
        <v>16852</v>
      </c>
      <c r="O19" s="30">
        <v>751</v>
      </c>
      <c r="P19" s="30">
        <v>214340</v>
      </c>
      <c r="Q19" s="132">
        <v>774495</v>
      </c>
      <c r="R19" s="132">
        <v>2913</v>
      </c>
      <c r="S19" s="30">
        <v>387266.579</v>
      </c>
      <c r="T19" s="30">
        <v>296791</v>
      </c>
      <c r="U19" s="30">
        <v>328621</v>
      </c>
      <c r="V19" s="30">
        <v>8166</v>
      </c>
      <c r="W19" s="30">
        <v>1903.491</v>
      </c>
      <c r="X19" s="30">
        <v>125330.973</v>
      </c>
      <c r="Y19" s="30">
        <v>482529</v>
      </c>
      <c r="Z19" s="30">
        <v>631495</v>
      </c>
      <c r="AA19" s="30">
        <v>285171.5</v>
      </c>
      <c r="AB19" s="30">
        <v>574405</v>
      </c>
      <c r="AC19" s="30">
        <v>288894</v>
      </c>
      <c r="AD19" s="30">
        <v>273494</v>
      </c>
      <c r="AE19" s="30">
        <v>13013</v>
      </c>
      <c r="AF19" s="30">
        <v>226918.277</v>
      </c>
      <c r="AG19" s="30">
        <v>54.567</v>
      </c>
      <c r="AH19" s="30">
        <v>169827.738</v>
      </c>
      <c r="AI19" s="30">
        <v>16257</v>
      </c>
      <c r="AJ19" s="30">
        <v>341</v>
      </c>
      <c r="AK19" s="30">
        <v>0</v>
      </c>
      <c r="AL19" s="30">
        <f>1144976</f>
        <v>1144976</v>
      </c>
      <c r="AM19" s="30">
        <v>81380</v>
      </c>
      <c r="AN19" s="30">
        <v>117800</v>
      </c>
      <c r="AO19" s="30">
        <v>28890</v>
      </c>
      <c r="AP19" s="30">
        <v>57058.8</v>
      </c>
      <c r="AQ19" s="30">
        <v>92867</v>
      </c>
      <c r="AR19" s="30">
        <v>55026</v>
      </c>
      <c r="AS19" s="30">
        <v>75810.078</v>
      </c>
      <c r="AT19" s="30">
        <v>45456</v>
      </c>
      <c r="AU19" s="30">
        <v>0</v>
      </c>
      <c r="AV19" s="30">
        <f>38854.111+8920.157+361.824+3172.343+49829.69</f>
        <v>101138.125</v>
      </c>
      <c r="AW19" s="30">
        <v>78430</v>
      </c>
      <c r="AX19" s="30">
        <v>152654</v>
      </c>
      <c r="AY19" s="30">
        <v>50678</v>
      </c>
      <c r="AZ19" s="30">
        <v>36962</v>
      </c>
      <c r="BA19" s="30">
        <v>42319.755</v>
      </c>
      <c r="BB19" s="30">
        <v>60011</v>
      </c>
      <c r="BC19" s="30">
        <v>39357</v>
      </c>
      <c r="BD19" s="30">
        <v>36849</v>
      </c>
      <c r="BE19" s="30">
        <v>31063</v>
      </c>
      <c r="BF19" s="30">
        <f>24768</f>
        <v>24768</v>
      </c>
      <c r="BG19" s="30">
        <v>133092.5</v>
      </c>
      <c r="BH19" s="30">
        <v>52206.603</v>
      </c>
      <c r="BI19" s="30">
        <v>1155.186</v>
      </c>
      <c r="BK19" s="29">
        <f t="shared" si="0"/>
        <v>25296842.310000006</v>
      </c>
      <c r="BL19" s="29"/>
      <c r="BM19" s="29">
        <f t="shared" si="4"/>
        <v>11574065.806</v>
      </c>
      <c r="BN19" s="29">
        <f t="shared" si="5"/>
        <v>13722776.504</v>
      </c>
      <c r="BO19" s="30"/>
    </row>
    <row r="20" spans="1:67" ht="15" customHeight="1" hidden="1">
      <c r="A20" s="247" t="s">
        <v>373</v>
      </c>
      <c r="B20" s="30">
        <v>0</v>
      </c>
      <c r="C20" s="30">
        <v>0</v>
      </c>
      <c r="D20" s="30">
        <v>0</v>
      </c>
      <c r="E20" s="30">
        <v>0</v>
      </c>
      <c r="F20" s="30">
        <v>-3409</v>
      </c>
      <c r="G20" s="30">
        <v>-48043.447</v>
      </c>
      <c r="H20" s="30">
        <v>-803</v>
      </c>
      <c r="I20" s="30">
        <v>-14714</v>
      </c>
      <c r="J20" s="30">
        <v>0</v>
      </c>
      <c r="K20" s="30">
        <v>-17462</v>
      </c>
      <c r="L20" s="132">
        <v>0</v>
      </c>
      <c r="M20" s="42">
        <v>0</v>
      </c>
      <c r="N20" s="42">
        <v>0</v>
      </c>
      <c r="O20" s="42">
        <v>0</v>
      </c>
      <c r="P20" s="30">
        <v>-530</v>
      </c>
      <c r="Q20" s="132">
        <v>-7518</v>
      </c>
      <c r="R20" s="132">
        <v>0</v>
      </c>
      <c r="S20" s="30">
        <v>-6002.624</v>
      </c>
      <c r="T20" s="30">
        <v>0</v>
      </c>
      <c r="U20" s="30">
        <v>-6530</v>
      </c>
      <c r="V20" s="30">
        <v>-82</v>
      </c>
      <c r="W20" s="30">
        <v>0</v>
      </c>
      <c r="X20" s="30">
        <v>0</v>
      </c>
      <c r="Y20" s="30">
        <v>-9413</v>
      </c>
      <c r="Z20" s="30">
        <v>-72655</v>
      </c>
      <c r="AA20" s="30">
        <v>-2637.1</v>
      </c>
      <c r="AB20" s="30">
        <v>0</v>
      </c>
      <c r="AC20" s="30">
        <v>-6854</v>
      </c>
      <c r="AD20" s="30"/>
      <c r="AE20" s="30">
        <v>0</v>
      </c>
      <c r="AF20" s="30">
        <v>0</v>
      </c>
      <c r="AG20" s="30">
        <v>0</v>
      </c>
      <c r="AH20" s="30">
        <v>-2667.169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-304.6</v>
      </c>
      <c r="AQ20" s="30">
        <v>0</v>
      </c>
      <c r="AR20" s="30">
        <v>-869</v>
      </c>
      <c r="AS20" s="30">
        <v>0</v>
      </c>
      <c r="AT20" s="30">
        <v>0</v>
      </c>
      <c r="AU20" s="30">
        <v>0</v>
      </c>
      <c r="AV20" s="30">
        <v>0</v>
      </c>
      <c r="AW20" s="30">
        <v>-342</v>
      </c>
      <c r="AX20" s="30">
        <v>0</v>
      </c>
      <c r="AY20" s="30">
        <v>0</v>
      </c>
      <c r="AZ20" s="30">
        <v>0</v>
      </c>
      <c r="BA20" s="30">
        <v>-499.667</v>
      </c>
      <c r="BB20" s="30">
        <v>0</v>
      </c>
      <c r="BC20" s="30">
        <v>-1173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K20" s="29">
        <f t="shared" si="0"/>
        <v>-202508.607</v>
      </c>
      <c r="BL20" s="29"/>
      <c r="BM20" s="29">
        <f>+C20+D21+E21+AB20+AI20+AL20+AM20+AO20+AS20+AV20+AX20+AY20+BB20+BE20+BF20+BG20+BH20</f>
        <v>0</v>
      </c>
      <c r="BN20" s="29">
        <f t="shared" si="5"/>
        <v>-202508.607</v>
      </c>
      <c r="BO20" s="30"/>
    </row>
    <row r="21" spans="1:67" ht="15" customHeight="1" hidden="1">
      <c r="A21" s="247" t="s">
        <v>374</v>
      </c>
      <c r="B21" s="30">
        <v>67.284</v>
      </c>
      <c r="C21" s="30">
        <v>1258</v>
      </c>
      <c r="D21" s="30">
        <v>0</v>
      </c>
      <c r="E21" s="30">
        <v>0</v>
      </c>
      <c r="F21" s="30">
        <v>1975</v>
      </c>
      <c r="G21" s="30">
        <v>10910.449</v>
      </c>
      <c r="H21" s="30">
        <v>6351</v>
      </c>
      <c r="I21" s="30">
        <v>5072.2</v>
      </c>
      <c r="J21" s="30">
        <v>0</v>
      </c>
      <c r="K21" s="30">
        <v>2891</v>
      </c>
      <c r="L21" s="132">
        <v>565</v>
      </c>
      <c r="M21" s="42">
        <v>0</v>
      </c>
      <c r="N21" s="42">
        <v>0</v>
      </c>
      <c r="O21" s="42">
        <v>0</v>
      </c>
      <c r="P21" s="30">
        <v>675</v>
      </c>
      <c r="Q21" s="132">
        <v>1448</v>
      </c>
      <c r="R21" s="132">
        <v>0</v>
      </c>
      <c r="S21" s="30">
        <v>1658.25</v>
      </c>
      <c r="T21" s="30">
        <v>0</v>
      </c>
      <c r="U21" s="30">
        <v>3573</v>
      </c>
      <c r="V21" s="30">
        <v>0</v>
      </c>
      <c r="W21" s="30">
        <v>0</v>
      </c>
      <c r="X21" s="30">
        <v>116.4</v>
      </c>
      <c r="Y21" s="30">
        <v>1855</v>
      </c>
      <c r="Z21" s="30">
        <v>480</v>
      </c>
      <c r="AA21" s="30">
        <v>346.4</v>
      </c>
      <c r="AB21" s="30">
        <v>57</v>
      </c>
      <c r="AC21" s="30">
        <v>978</v>
      </c>
      <c r="AD21" s="30">
        <v>261</v>
      </c>
      <c r="AE21" s="30">
        <v>20</v>
      </c>
      <c r="AF21" s="30">
        <v>0</v>
      </c>
      <c r="AG21" s="30">
        <v>0</v>
      </c>
      <c r="AH21" s="30">
        <v>0</v>
      </c>
      <c r="AI21" s="30">
        <v>202</v>
      </c>
      <c r="AJ21" s="30">
        <v>0</v>
      </c>
      <c r="AK21" s="30">
        <v>0</v>
      </c>
      <c r="AL21" s="30">
        <v>698</v>
      </c>
      <c r="AM21" s="30">
        <v>0</v>
      </c>
      <c r="AN21" s="30">
        <v>0</v>
      </c>
      <c r="AO21" s="30">
        <v>0</v>
      </c>
      <c r="AP21" s="30">
        <v>71.8</v>
      </c>
      <c r="AQ21" s="30">
        <v>0</v>
      </c>
      <c r="AR21" s="30">
        <v>0</v>
      </c>
      <c r="AS21" s="30">
        <v>0</v>
      </c>
      <c r="AT21" s="30">
        <v>10</v>
      </c>
      <c r="AU21" s="30">
        <v>0</v>
      </c>
      <c r="AV21" s="30">
        <v>0</v>
      </c>
      <c r="AW21" s="30">
        <v>9</v>
      </c>
      <c r="AX21" s="30">
        <v>94</v>
      </c>
      <c r="AY21" s="30">
        <v>0</v>
      </c>
      <c r="AZ21" s="30">
        <v>0</v>
      </c>
      <c r="BA21" s="30">
        <v>12.726</v>
      </c>
      <c r="BB21" s="30">
        <v>19</v>
      </c>
      <c r="BC21" s="30">
        <v>0</v>
      </c>
      <c r="BD21" s="30">
        <v>0</v>
      </c>
      <c r="BE21" s="30">
        <v>23</v>
      </c>
      <c r="BF21" s="30">
        <v>5</v>
      </c>
      <c r="BG21" s="30">
        <v>0</v>
      </c>
      <c r="BH21" s="30">
        <v>0</v>
      </c>
      <c r="BI21" s="30">
        <v>0</v>
      </c>
      <c r="BK21" s="29">
        <f t="shared" si="0"/>
        <v>41702.50900000001</v>
      </c>
      <c r="BL21" s="29"/>
      <c r="BM21" s="29">
        <f>+C21+D22+E22+AB21+AI21+AL21+AM21+AO21+AS21+AV21+AX21+AY21+BB21+BE21+BF21+BG21+BH21</f>
        <v>2356</v>
      </c>
      <c r="BN21" s="29">
        <f t="shared" si="5"/>
        <v>39346.50900000001</v>
      </c>
      <c r="BO21" s="30"/>
    </row>
    <row r="22" spans="1:67" ht="15" customHeight="1" hidden="1">
      <c r="A22" s="247" t="s">
        <v>375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13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/>
      <c r="AE22" s="30">
        <v>0</v>
      </c>
      <c r="AF22" s="30">
        <v>0</v>
      </c>
      <c r="AG22" s="30">
        <v>0</v>
      </c>
      <c r="AH22" s="42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K22" s="29">
        <f t="shared" si="0"/>
        <v>0</v>
      </c>
      <c r="BL22" s="29"/>
      <c r="BM22" s="29">
        <f t="shared" si="4"/>
        <v>0</v>
      </c>
      <c r="BN22" s="29">
        <f t="shared" si="5"/>
        <v>0</v>
      </c>
      <c r="BO22" s="30"/>
    </row>
    <row r="23" spans="1:67" ht="15" customHeight="1" hidden="1">
      <c r="A23" s="247"/>
      <c r="L23" s="33"/>
      <c r="Q23" s="33"/>
      <c r="R23" s="33"/>
      <c r="T23" s="42">
        <v>0</v>
      </c>
      <c r="W23" s="30"/>
      <c r="AH23" s="29"/>
      <c r="AM23" s="29"/>
      <c r="AP23" s="29"/>
      <c r="AR23" s="29"/>
      <c r="AY23" s="29"/>
      <c r="BG23" s="29"/>
      <c r="BK23" s="29">
        <f t="shared" si="0"/>
        <v>0</v>
      </c>
      <c r="BL23" s="29"/>
      <c r="BM23" s="29"/>
      <c r="BN23" s="29"/>
      <c r="BO23" s="30"/>
    </row>
    <row r="24" spans="1:67" ht="15" customHeight="1">
      <c r="A24" s="260" t="s">
        <v>371</v>
      </c>
      <c r="B24" s="29">
        <f>SUM(B19:B22)</f>
        <v>77070.408</v>
      </c>
      <c r="C24" s="29">
        <f aca="true" t="shared" si="6" ref="C24:BG24">SUM(C19:C22)</f>
        <v>8822069</v>
      </c>
      <c r="D24" s="29">
        <f t="shared" si="6"/>
        <v>195540</v>
      </c>
      <c r="E24" s="29">
        <f t="shared" si="6"/>
        <v>30385.5</v>
      </c>
      <c r="F24" s="29">
        <f t="shared" si="6"/>
        <v>2081559</v>
      </c>
      <c r="G24" s="29">
        <f t="shared" si="6"/>
        <v>1951352.216</v>
      </c>
      <c r="H24" s="29">
        <f t="shared" si="6"/>
        <v>1159420</v>
      </c>
      <c r="I24" s="29">
        <f t="shared" si="6"/>
        <v>1447882.5</v>
      </c>
      <c r="J24" s="29">
        <f t="shared" si="6"/>
        <v>485</v>
      </c>
      <c r="K24" s="29">
        <f t="shared" si="6"/>
        <v>971880</v>
      </c>
      <c r="L24" s="29">
        <f t="shared" si="6"/>
        <v>274781</v>
      </c>
      <c r="M24" s="29">
        <f t="shared" si="6"/>
        <v>569298</v>
      </c>
      <c r="N24" s="29">
        <f t="shared" si="6"/>
        <v>16852</v>
      </c>
      <c r="O24" s="29">
        <f t="shared" si="6"/>
        <v>751</v>
      </c>
      <c r="P24" s="29">
        <f t="shared" si="6"/>
        <v>214485</v>
      </c>
      <c r="Q24" s="29">
        <f t="shared" si="6"/>
        <v>768425</v>
      </c>
      <c r="R24" s="29">
        <f t="shared" si="6"/>
        <v>2913</v>
      </c>
      <c r="S24" s="29">
        <f t="shared" si="6"/>
        <v>382922.205</v>
      </c>
      <c r="T24" s="29">
        <f t="shared" si="6"/>
        <v>296791</v>
      </c>
      <c r="U24" s="29">
        <f t="shared" si="6"/>
        <v>325664</v>
      </c>
      <c r="V24" s="29">
        <f t="shared" si="6"/>
        <v>8084</v>
      </c>
      <c r="W24" s="29">
        <f t="shared" si="6"/>
        <v>1903.491</v>
      </c>
      <c r="X24" s="29">
        <f t="shared" si="6"/>
        <v>125447.37299999999</v>
      </c>
      <c r="Y24" s="29">
        <f t="shared" si="6"/>
        <v>474971</v>
      </c>
      <c r="Z24" s="29">
        <f t="shared" si="6"/>
        <v>559320</v>
      </c>
      <c r="AA24" s="29">
        <f t="shared" si="6"/>
        <v>282880.80000000005</v>
      </c>
      <c r="AB24" s="29">
        <f t="shared" si="6"/>
        <v>574462</v>
      </c>
      <c r="AC24" s="29">
        <f t="shared" si="6"/>
        <v>283018</v>
      </c>
      <c r="AD24" s="29">
        <f t="shared" si="6"/>
        <v>273755</v>
      </c>
      <c r="AE24" s="29">
        <f t="shared" si="6"/>
        <v>13033</v>
      </c>
      <c r="AF24" s="29">
        <f>SUM(AF19:AF22)</f>
        <v>226918.277</v>
      </c>
      <c r="AG24" s="29">
        <f t="shared" si="6"/>
        <v>54.567</v>
      </c>
      <c r="AH24" s="29">
        <f t="shared" si="6"/>
        <v>167160.56900000002</v>
      </c>
      <c r="AI24" s="29">
        <f t="shared" si="6"/>
        <v>16459</v>
      </c>
      <c r="AJ24" s="29">
        <f t="shared" si="6"/>
        <v>341</v>
      </c>
      <c r="AK24" s="29">
        <f t="shared" si="6"/>
        <v>0</v>
      </c>
      <c r="AL24" s="29">
        <f t="shared" si="6"/>
        <v>1145674</v>
      </c>
      <c r="AM24" s="29">
        <f t="shared" si="6"/>
        <v>81380</v>
      </c>
      <c r="AN24" s="29">
        <f t="shared" si="6"/>
        <v>117800</v>
      </c>
      <c r="AO24" s="29">
        <f t="shared" si="6"/>
        <v>28890</v>
      </c>
      <c r="AP24" s="29">
        <f t="shared" si="6"/>
        <v>56826.00000000001</v>
      </c>
      <c r="AQ24" s="29">
        <f t="shared" si="6"/>
        <v>92867</v>
      </c>
      <c r="AR24" s="29">
        <f t="shared" si="6"/>
        <v>54157</v>
      </c>
      <c r="AS24" s="29">
        <f>SUM(AS19:AS22)</f>
        <v>75810.078</v>
      </c>
      <c r="AT24" s="29">
        <f t="shared" si="6"/>
        <v>45466</v>
      </c>
      <c r="AU24" s="29">
        <f t="shared" si="6"/>
        <v>0</v>
      </c>
      <c r="AV24" s="29">
        <f t="shared" si="6"/>
        <v>101138.125</v>
      </c>
      <c r="AW24" s="29">
        <f t="shared" si="6"/>
        <v>78097</v>
      </c>
      <c r="AX24" s="29">
        <f t="shared" si="6"/>
        <v>152748</v>
      </c>
      <c r="AY24" s="29">
        <f t="shared" si="6"/>
        <v>50678</v>
      </c>
      <c r="AZ24" s="29">
        <f t="shared" si="6"/>
        <v>36962</v>
      </c>
      <c r="BA24" s="29">
        <f t="shared" si="6"/>
        <v>41832.814</v>
      </c>
      <c r="BB24" s="29">
        <f t="shared" si="6"/>
        <v>60030</v>
      </c>
      <c r="BC24" s="29">
        <f t="shared" si="6"/>
        <v>38184</v>
      </c>
      <c r="BD24" s="29">
        <f t="shared" si="6"/>
        <v>36849</v>
      </c>
      <c r="BE24" s="29">
        <f t="shared" si="6"/>
        <v>31086</v>
      </c>
      <c r="BF24" s="29">
        <f t="shared" si="6"/>
        <v>24773</v>
      </c>
      <c r="BG24" s="29">
        <f t="shared" si="6"/>
        <v>133092.5</v>
      </c>
      <c r="BH24" s="29">
        <f>SUM(BH19:BH22)</f>
        <v>52206.603</v>
      </c>
      <c r="BI24" s="29">
        <f>SUM(BI19:BI22)</f>
        <v>1155.186</v>
      </c>
      <c r="BK24" s="29">
        <f t="shared" si="0"/>
        <v>25136036.211999997</v>
      </c>
      <c r="BL24" s="29"/>
      <c r="BM24" s="29">
        <f t="shared" si="4"/>
        <v>11576421.806</v>
      </c>
      <c r="BN24" s="29">
        <f t="shared" si="5"/>
        <v>13559614.406000001</v>
      </c>
      <c r="BO24" s="30"/>
    </row>
    <row r="25" spans="1:67" ht="15" customHeight="1" hidden="1">
      <c r="A25" s="250"/>
      <c r="L25" s="33"/>
      <c r="Q25" s="33"/>
      <c r="R25" s="33"/>
      <c r="W25" s="30"/>
      <c r="BK25" s="29"/>
      <c r="BL25" s="29"/>
      <c r="BM25" s="29"/>
      <c r="BN25" s="29"/>
      <c r="BO25" s="30"/>
    </row>
    <row r="26" spans="1:67" ht="15" customHeight="1" hidden="1">
      <c r="A26" s="246" t="s">
        <v>376</v>
      </c>
      <c r="L26" s="33"/>
      <c r="Q26" s="33"/>
      <c r="R26" s="33"/>
      <c r="W26" s="30"/>
      <c r="Y26" s="30"/>
      <c r="AB26" s="30"/>
      <c r="AH26" s="30"/>
      <c r="AM26" s="30"/>
      <c r="AP26" s="30"/>
      <c r="AR26" s="30"/>
      <c r="AY26" s="30"/>
      <c r="BG26" s="30"/>
      <c r="BK26" s="29">
        <f t="shared" si="0"/>
        <v>0</v>
      </c>
      <c r="BL26" s="29"/>
      <c r="BM26" s="29"/>
      <c r="BN26" s="29"/>
      <c r="BO26" s="30"/>
    </row>
    <row r="27" spans="1:67" ht="15" customHeight="1" hidden="1">
      <c r="A27" s="247" t="s">
        <v>377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-4554</v>
      </c>
      <c r="L27" s="13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-566950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K27" s="29">
        <f t="shared" si="0"/>
        <v>-571504</v>
      </c>
      <c r="BL27" s="29"/>
      <c r="BM27" s="29">
        <f t="shared" si="4"/>
        <v>-566950</v>
      </c>
      <c r="BN27" s="29">
        <f t="shared" si="5"/>
        <v>-4554</v>
      </c>
      <c r="BO27" s="30"/>
    </row>
    <row r="28" spans="1:67" ht="15" customHeight="1" hidden="1">
      <c r="A28" s="247" t="s">
        <v>378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866.735</v>
      </c>
      <c r="H28" s="30">
        <v>0</v>
      </c>
      <c r="I28" s="30">
        <v>0</v>
      </c>
      <c r="J28" s="30">
        <v>0</v>
      </c>
      <c r="K28" s="30">
        <v>0</v>
      </c>
      <c r="L28" s="13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866.7</v>
      </c>
      <c r="AB28" s="30">
        <v>555152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K28" s="29">
        <f t="shared" si="0"/>
        <v>556885.435</v>
      </c>
      <c r="BL28" s="29"/>
      <c r="BM28" s="29">
        <f t="shared" si="4"/>
        <v>555152</v>
      </c>
      <c r="BN28" s="29">
        <f t="shared" si="5"/>
        <v>1733.435</v>
      </c>
      <c r="BO28" s="30"/>
    </row>
    <row r="29" spans="1:67" ht="15" customHeight="1" hidden="1">
      <c r="A29" s="247" t="s">
        <v>379</v>
      </c>
      <c r="B29" s="30">
        <v>-1427785.47</v>
      </c>
      <c r="C29" s="30">
        <v>-3963414.89</v>
      </c>
      <c r="D29" s="30">
        <v>0</v>
      </c>
      <c r="E29" s="30">
        <v>0</v>
      </c>
      <c r="F29" s="30">
        <v>-6284463</v>
      </c>
      <c r="G29" s="30">
        <v>-2223237.371</v>
      </c>
      <c r="H29" s="30">
        <v>1173450</v>
      </c>
      <c r="I29" s="30">
        <v>-2430726.2</v>
      </c>
      <c r="J29" s="30">
        <v>0</v>
      </c>
      <c r="K29" s="30">
        <v>-760252</v>
      </c>
      <c r="L29" s="132">
        <v>-892807.33</v>
      </c>
      <c r="M29" s="30">
        <v>-10122</v>
      </c>
      <c r="N29" s="30">
        <v>1353</v>
      </c>
      <c r="O29" s="30">
        <v>4516</v>
      </c>
      <c r="P29" s="30">
        <v>-1538293</v>
      </c>
      <c r="Q29" s="132">
        <v>-150446</v>
      </c>
      <c r="R29" s="42">
        <v>0</v>
      </c>
      <c r="S29" s="30">
        <v>56912.135</v>
      </c>
      <c r="T29" s="30">
        <v>-224839.8</v>
      </c>
      <c r="U29" s="30">
        <v>-474035</v>
      </c>
      <c r="V29" s="30">
        <v>19622</v>
      </c>
      <c r="W29" s="30">
        <v>17.341</v>
      </c>
      <c r="X29" s="30">
        <v>-1373054.33</v>
      </c>
      <c r="Y29" s="30">
        <v>-274050</v>
      </c>
      <c r="Z29" s="30">
        <v>-11240</v>
      </c>
      <c r="AA29" s="30">
        <v>216346.2</v>
      </c>
      <c r="AB29" s="30">
        <v>0</v>
      </c>
      <c r="AC29" s="30">
        <v>-27094.2</v>
      </c>
      <c r="AD29" s="30">
        <v>23255</v>
      </c>
      <c r="AE29" s="30">
        <v>-186.75</v>
      </c>
      <c r="AF29" s="30">
        <v>84528.308</v>
      </c>
      <c r="AG29" s="30">
        <v>718.199</v>
      </c>
      <c r="AH29" s="30">
        <v>-71992.473</v>
      </c>
      <c r="AI29" s="30">
        <v>-29865</v>
      </c>
      <c r="AJ29" s="30">
        <v>-1105</v>
      </c>
      <c r="AK29" s="30">
        <v>30.8</v>
      </c>
      <c r="AL29" s="30">
        <v>-5952</v>
      </c>
      <c r="AM29" s="30">
        <v>-87</v>
      </c>
      <c r="AN29" s="30">
        <v>79255</v>
      </c>
      <c r="AO29" s="30">
        <v>0</v>
      </c>
      <c r="AP29" s="30">
        <v>-3737.9</v>
      </c>
      <c r="AQ29" s="30">
        <v>661</v>
      </c>
      <c r="AR29" s="30">
        <v>-217042</v>
      </c>
      <c r="AS29" s="30">
        <v>-38403.078</v>
      </c>
      <c r="AT29" s="30">
        <v>-8290</v>
      </c>
      <c r="AU29" s="30">
        <v>62</v>
      </c>
      <c r="AV29" s="30">
        <v>3940.555</v>
      </c>
      <c r="AW29" s="30">
        <v>108</v>
      </c>
      <c r="AX29" s="30">
        <v>-55144</v>
      </c>
      <c r="AY29" s="30">
        <v>5737</v>
      </c>
      <c r="AZ29" s="30">
        <v>90</v>
      </c>
      <c r="BA29" s="29">
        <v>-1019.01</v>
      </c>
      <c r="BB29" s="30">
        <v>-3282</v>
      </c>
      <c r="BC29" s="30">
        <v>20</v>
      </c>
      <c r="BD29" s="30">
        <v>146</v>
      </c>
      <c r="BE29" s="30">
        <v>0</v>
      </c>
      <c r="BF29" s="30">
        <f>3081</f>
        <v>3081</v>
      </c>
      <c r="BG29" s="30">
        <v>0</v>
      </c>
      <c r="BH29" s="30">
        <v>0</v>
      </c>
      <c r="BI29" s="30">
        <v>0</v>
      </c>
      <c r="BK29" s="29">
        <f t="shared" si="0"/>
        <v>-20828117.264000002</v>
      </c>
      <c r="BL29" s="29"/>
      <c r="BM29" s="29">
        <f t="shared" si="4"/>
        <v>-4083389.413</v>
      </c>
      <c r="BN29" s="29">
        <f t="shared" si="5"/>
        <v>-16744727.851</v>
      </c>
      <c r="BO29" s="30"/>
    </row>
    <row r="30" spans="1:67" ht="15" customHeight="1" hidden="1">
      <c r="A30" s="247" t="s">
        <v>380</v>
      </c>
      <c r="B30" s="30">
        <v>0</v>
      </c>
      <c r="C30" s="30">
        <v>0</v>
      </c>
      <c r="D30" s="30">
        <v>0</v>
      </c>
      <c r="E30" s="30">
        <v>0</v>
      </c>
      <c r="F30" s="30">
        <v>-613</v>
      </c>
      <c r="G30" s="30"/>
      <c r="H30" s="30">
        <v>1787</v>
      </c>
      <c r="I30" s="30">
        <v>8003</v>
      </c>
      <c r="J30" s="30">
        <v>0</v>
      </c>
      <c r="K30" s="30">
        <v>0</v>
      </c>
      <c r="L30" s="132">
        <v>0</v>
      </c>
      <c r="M30" s="30">
        <v>0</v>
      </c>
      <c r="N30" s="30">
        <v>0</v>
      </c>
      <c r="O30" s="30">
        <v>0</v>
      </c>
      <c r="P30" s="30">
        <v>0</v>
      </c>
      <c r="Q30" s="132">
        <v>-3772</v>
      </c>
      <c r="R30" s="42">
        <v>0</v>
      </c>
      <c r="S30" s="30">
        <v>0</v>
      </c>
      <c r="T30" s="30">
        <v>0</v>
      </c>
      <c r="U30" s="30">
        <v>768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96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300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K30" s="29">
        <f t="shared" si="0"/>
        <v>6569</v>
      </c>
      <c r="BL30" s="29"/>
      <c r="BM30" s="29">
        <f t="shared" si="4"/>
        <v>0</v>
      </c>
      <c r="BN30" s="29">
        <f t="shared" si="5"/>
        <v>6569</v>
      </c>
      <c r="BO30" s="30"/>
    </row>
    <row r="31" spans="1:67" ht="15" customHeight="1" hidden="1">
      <c r="A31" s="247" t="s">
        <v>381</v>
      </c>
      <c r="B31" s="30">
        <v>1207560.038</v>
      </c>
      <c r="C31" s="30">
        <v>5339144.01</v>
      </c>
      <c r="D31" s="30">
        <v>14315.4</v>
      </c>
      <c r="E31" s="30">
        <v>2665.5</v>
      </c>
      <c r="F31" s="30">
        <v>5645477.97</v>
      </c>
      <c r="G31" s="30">
        <v>2804658.875</v>
      </c>
      <c r="H31" s="30">
        <v>40631</v>
      </c>
      <c r="I31" s="30">
        <v>-1460169</v>
      </c>
      <c r="J31" s="30">
        <v>-32360</v>
      </c>
      <c r="K31" s="30">
        <f>607906+17640</f>
        <v>625546</v>
      </c>
      <c r="L31" s="132">
        <v>1523685</v>
      </c>
      <c r="M31" s="30">
        <v>252874</v>
      </c>
      <c r="N31" s="30">
        <v>84719</v>
      </c>
      <c r="O31" s="30">
        <v>-136758</v>
      </c>
      <c r="P31" s="30">
        <v>1264159</v>
      </c>
      <c r="Q31" s="132">
        <v>850577</v>
      </c>
      <c r="R31" s="42">
        <v>0</v>
      </c>
      <c r="S31" s="30">
        <v>-1154048.389</v>
      </c>
      <c r="T31" s="30">
        <v>-31693</v>
      </c>
      <c r="U31" s="30">
        <v>-29333</v>
      </c>
      <c r="V31" s="30">
        <v>7102</v>
      </c>
      <c r="W31" s="30">
        <v>-73273.258</v>
      </c>
      <c r="X31" s="30">
        <v>358155.926</v>
      </c>
      <c r="Y31" s="30">
        <v>27149</v>
      </c>
      <c r="Z31" s="30">
        <v>-324925</v>
      </c>
      <c r="AA31" s="30">
        <v>3681.9</v>
      </c>
      <c r="AB31" s="30">
        <v>0</v>
      </c>
      <c r="AC31" s="30">
        <v>227281</v>
      </c>
      <c r="AD31" s="30">
        <v>-153337</v>
      </c>
      <c r="AE31" s="30">
        <v>-55605.45</v>
      </c>
      <c r="AF31" s="30">
        <v>388595.231</v>
      </c>
      <c r="AG31" s="30">
        <v>-1916.968</v>
      </c>
      <c r="AH31" s="30">
        <v>-86204.138</v>
      </c>
      <c r="AI31" s="30">
        <v>62962</v>
      </c>
      <c r="AJ31" s="30">
        <v>2330</v>
      </c>
      <c r="AK31" s="30">
        <v>-347.8</v>
      </c>
      <c r="AL31" s="30">
        <f>233902</f>
        <v>233902</v>
      </c>
      <c r="AM31" s="30">
        <v>-28760</v>
      </c>
      <c r="AN31" s="30">
        <v>129234</v>
      </c>
      <c r="AO31" s="30">
        <v>8417</v>
      </c>
      <c r="AP31" s="30">
        <v>153317.7</v>
      </c>
      <c r="AQ31" s="30">
        <v>99285</v>
      </c>
      <c r="AR31" s="30">
        <v>104027</v>
      </c>
      <c r="AS31" s="30">
        <v>-48814.674</v>
      </c>
      <c r="AT31" s="30">
        <v>-10307</v>
      </c>
      <c r="AU31" s="30">
        <v>3550</v>
      </c>
      <c r="AV31" s="30">
        <v>-3375.522</v>
      </c>
      <c r="AW31" s="30">
        <v>61466</v>
      </c>
      <c r="AX31" s="30">
        <v>55668.4</v>
      </c>
      <c r="AY31" s="30">
        <v>48577</v>
      </c>
      <c r="AZ31" s="30">
        <v>49796</v>
      </c>
      <c r="BA31" s="29">
        <v>28972.672</v>
      </c>
      <c r="BB31" s="30">
        <v>-4025</v>
      </c>
      <c r="BC31" s="30">
        <v>40975</v>
      </c>
      <c r="BD31" s="30">
        <v>37642.6</v>
      </c>
      <c r="BE31" s="30">
        <v>24887</v>
      </c>
      <c r="BF31" s="30">
        <f>10420</f>
        <v>10420</v>
      </c>
      <c r="BG31" s="30">
        <v>6138.5</v>
      </c>
      <c r="BH31" s="30">
        <v>3701.656</v>
      </c>
      <c r="BI31" s="30">
        <f>972.131+130.579</f>
        <v>1102.71</v>
      </c>
      <c r="BK31" s="29">
        <f t="shared" si="0"/>
        <v>18199096.889</v>
      </c>
      <c r="BL31" s="29"/>
      <c r="BM31" s="29">
        <f t="shared" si="4"/>
        <v>5725823.270000001</v>
      </c>
      <c r="BN31" s="29">
        <f t="shared" si="5"/>
        <v>12473273.618999999</v>
      </c>
      <c r="BO31" s="30"/>
    </row>
    <row r="32" spans="1:67" ht="15" customHeight="1" hidden="1">
      <c r="A32" s="247" t="s">
        <v>382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132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-13869</v>
      </c>
      <c r="V32" s="30">
        <v>-1483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-69368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K32" s="29">
        <f t="shared" si="0"/>
        <v>-84720</v>
      </c>
      <c r="BL32" s="29"/>
      <c r="BM32" s="29">
        <f t="shared" si="4"/>
        <v>-69368</v>
      </c>
      <c r="BN32" s="29">
        <f t="shared" si="5"/>
        <v>-15352</v>
      </c>
      <c r="BO32" s="30"/>
    </row>
    <row r="33" spans="1:67" ht="15" customHeight="1" hidden="1">
      <c r="A33" s="247" t="s">
        <v>383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35157</v>
      </c>
      <c r="J33" s="30">
        <v>0</v>
      </c>
      <c r="K33" s="30">
        <v>0</v>
      </c>
      <c r="L33" s="132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K33" s="29">
        <f t="shared" si="0"/>
        <v>35157</v>
      </c>
      <c r="BL33" s="29"/>
      <c r="BM33" s="29">
        <f t="shared" si="4"/>
        <v>0</v>
      </c>
      <c r="BN33" s="29">
        <f t="shared" si="5"/>
        <v>35157</v>
      </c>
      <c r="BO33" s="30"/>
    </row>
    <row r="34" spans="1:67" ht="15" customHeight="1" hidden="1">
      <c r="A34" s="247" t="s">
        <v>384</v>
      </c>
      <c r="B34" s="30">
        <v>-8000</v>
      </c>
      <c r="C34" s="30">
        <v>-5918.02</v>
      </c>
      <c r="D34" s="30">
        <v>0</v>
      </c>
      <c r="E34" s="30">
        <v>0</v>
      </c>
      <c r="F34" s="30">
        <v>0</v>
      </c>
      <c r="G34" s="30">
        <v>-40000</v>
      </c>
      <c r="H34" s="30">
        <v>-12775</v>
      </c>
      <c r="I34" s="30">
        <v>45987</v>
      </c>
      <c r="J34" s="30">
        <v>0</v>
      </c>
      <c r="K34" s="30">
        <v>-17640</v>
      </c>
      <c r="L34" s="132">
        <v>-2131</v>
      </c>
      <c r="M34" s="30">
        <v>-10999</v>
      </c>
      <c r="N34" s="30">
        <v>-1001</v>
      </c>
      <c r="O34" s="30">
        <v>0</v>
      </c>
      <c r="P34" s="30">
        <v>-28674</v>
      </c>
      <c r="Q34" s="132">
        <v>-27994</v>
      </c>
      <c r="R34" s="30">
        <v>0</v>
      </c>
      <c r="S34" s="30">
        <v>-215750.704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-3631</v>
      </c>
      <c r="Z34" s="30">
        <v>-2486</v>
      </c>
      <c r="AA34" s="30">
        <v>0</v>
      </c>
      <c r="AB34" s="30">
        <v>-2000</v>
      </c>
      <c r="AC34" s="30">
        <v>-13009</v>
      </c>
      <c r="AD34" s="30">
        <v>0</v>
      </c>
      <c r="AE34" s="30">
        <v>0</v>
      </c>
      <c r="AF34" s="30">
        <v>-205.248</v>
      </c>
      <c r="AG34" s="30">
        <v>-773.252</v>
      </c>
      <c r="AH34" s="30">
        <v>-11000</v>
      </c>
      <c r="AI34" s="30">
        <v>-2750</v>
      </c>
      <c r="AJ34" s="30">
        <v>-102</v>
      </c>
      <c r="AK34" s="30">
        <v>0</v>
      </c>
      <c r="AL34" s="30">
        <f>-8364</f>
        <v>-8364</v>
      </c>
      <c r="AM34" s="30">
        <v>0</v>
      </c>
      <c r="AN34" s="30">
        <v>0</v>
      </c>
      <c r="AO34" s="30">
        <v>0</v>
      </c>
      <c r="AP34" s="30">
        <v>-7849.76</v>
      </c>
      <c r="AQ34" s="30">
        <v>-12</v>
      </c>
      <c r="AR34" s="30">
        <v>0</v>
      </c>
      <c r="AS34" s="30">
        <v>0</v>
      </c>
      <c r="AT34" s="30">
        <v>0</v>
      </c>
      <c r="AU34" s="30">
        <v>-131</v>
      </c>
      <c r="AV34" s="30">
        <v>5650</v>
      </c>
      <c r="AW34" s="30">
        <v>-358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11</v>
      </c>
      <c r="BF34" s="30">
        <v>0</v>
      </c>
      <c r="BG34" s="30">
        <v>100</v>
      </c>
      <c r="BH34" s="30">
        <v>0</v>
      </c>
      <c r="BI34" s="30">
        <v>0</v>
      </c>
      <c r="BK34" s="29">
        <f t="shared" si="0"/>
        <v>-371805.984</v>
      </c>
      <c r="BL34" s="29"/>
      <c r="BM34" s="29">
        <f t="shared" si="4"/>
        <v>-13271.02</v>
      </c>
      <c r="BN34" s="29">
        <f t="shared" si="5"/>
        <v>-358534.96400000004</v>
      </c>
      <c r="BO34" s="30"/>
    </row>
    <row r="35" spans="1:67" ht="15" customHeight="1" hidden="1">
      <c r="A35" s="247" t="s">
        <v>385</v>
      </c>
      <c r="B35" s="30">
        <v>0</v>
      </c>
      <c r="C35" s="30">
        <v>0</v>
      </c>
      <c r="D35" s="30">
        <v>0</v>
      </c>
      <c r="E35" s="30">
        <v>0</v>
      </c>
      <c r="F35" s="30">
        <v>5867</v>
      </c>
      <c r="G35" s="30">
        <v>0</v>
      </c>
      <c r="H35" s="30">
        <v>0</v>
      </c>
      <c r="I35" s="30">
        <v>0</v>
      </c>
      <c r="J35" s="30">
        <v>0</v>
      </c>
      <c r="K35" s="30">
        <v>170045</v>
      </c>
      <c r="L35" s="132">
        <v>0</v>
      </c>
      <c r="M35" s="42">
        <v>0</v>
      </c>
      <c r="N35" s="42">
        <v>0</v>
      </c>
      <c r="O35" s="30">
        <v>0</v>
      </c>
      <c r="P35" s="30">
        <v>0</v>
      </c>
      <c r="Q35" s="132">
        <v>-61533</v>
      </c>
      <c r="R35" s="132">
        <v>32645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2325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K35" s="29">
        <f t="shared" si="0"/>
        <v>149349</v>
      </c>
      <c r="BL35" s="29"/>
      <c r="BM35" s="29">
        <f t="shared" si="4"/>
        <v>2325</v>
      </c>
      <c r="BN35" s="29">
        <f t="shared" si="5"/>
        <v>147024</v>
      </c>
      <c r="BO35" s="30"/>
    </row>
    <row r="36" spans="1:67" ht="15" customHeight="1" hidden="1">
      <c r="A36" s="247" t="s">
        <v>386</v>
      </c>
      <c r="L36" s="132"/>
      <c r="Q36" s="33"/>
      <c r="R36" s="33"/>
      <c r="W36" s="30"/>
      <c r="Y36" s="29"/>
      <c r="AB36" s="29"/>
      <c r="AH36" s="29"/>
      <c r="AM36" s="29"/>
      <c r="AP36" s="29"/>
      <c r="AR36" s="29"/>
      <c r="AY36" s="29"/>
      <c r="BG36" s="29"/>
      <c r="BK36" s="29"/>
      <c r="BL36" s="29"/>
      <c r="BM36" s="29"/>
      <c r="BN36" s="29"/>
      <c r="BO36" s="30"/>
    </row>
    <row r="37" spans="1:67" ht="15" customHeight="1">
      <c r="A37" s="260" t="s">
        <v>376</v>
      </c>
      <c r="B37" s="29">
        <f aca="true" t="shared" si="7" ref="B37:AR37">SUM(B27:B35)</f>
        <v>-228225.43200000003</v>
      </c>
      <c r="C37" s="29">
        <f t="shared" si="7"/>
        <v>1369811.0999999996</v>
      </c>
      <c r="D37" s="29">
        <f t="shared" si="7"/>
        <v>14315.4</v>
      </c>
      <c r="E37" s="29">
        <f t="shared" si="7"/>
        <v>2665.5</v>
      </c>
      <c r="F37" s="29">
        <f t="shared" si="7"/>
        <v>-633731.0300000003</v>
      </c>
      <c r="G37" s="29">
        <f t="shared" si="7"/>
        <v>542288.2390000001</v>
      </c>
      <c r="H37" s="29">
        <f t="shared" si="7"/>
        <v>1203093</v>
      </c>
      <c r="I37" s="29">
        <f t="shared" si="7"/>
        <v>-3801748.2</v>
      </c>
      <c r="J37" s="29">
        <f t="shared" si="7"/>
        <v>-32360</v>
      </c>
      <c r="K37" s="29">
        <f t="shared" si="7"/>
        <v>13145</v>
      </c>
      <c r="L37" s="29">
        <f t="shared" si="7"/>
        <v>628746.67</v>
      </c>
      <c r="M37" s="29">
        <f t="shared" si="7"/>
        <v>231753</v>
      </c>
      <c r="N37" s="29">
        <f t="shared" si="7"/>
        <v>85071</v>
      </c>
      <c r="O37" s="29">
        <f t="shared" si="7"/>
        <v>-132242</v>
      </c>
      <c r="P37" s="29">
        <f t="shared" si="7"/>
        <v>-302808</v>
      </c>
      <c r="Q37" s="29">
        <f t="shared" si="7"/>
        <v>606832</v>
      </c>
      <c r="R37" s="29">
        <f t="shared" si="7"/>
        <v>32645</v>
      </c>
      <c r="S37" s="29">
        <f t="shared" si="7"/>
        <v>-1312886.9579999999</v>
      </c>
      <c r="T37" s="29">
        <f t="shared" si="7"/>
        <v>-256532.8</v>
      </c>
      <c r="U37" s="29">
        <f t="shared" si="7"/>
        <v>-516469</v>
      </c>
      <c r="V37" s="29">
        <f t="shared" si="7"/>
        <v>25241</v>
      </c>
      <c r="W37" s="29">
        <f t="shared" si="7"/>
        <v>-73255.917</v>
      </c>
      <c r="X37" s="29">
        <f t="shared" si="7"/>
        <v>-1014898.4040000001</v>
      </c>
      <c r="Y37" s="29">
        <f t="shared" si="7"/>
        <v>-250532</v>
      </c>
      <c r="Z37" s="29">
        <f t="shared" si="7"/>
        <v>-338651</v>
      </c>
      <c r="AA37" s="29">
        <f t="shared" si="7"/>
        <v>220894.80000000002</v>
      </c>
      <c r="AB37" s="29">
        <f t="shared" si="7"/>
        <v>-13798</v>
      </c>
      <c r="AC37" s="29">
        <f t="shared" si="7"/>
        <v>187273.8</v>
      </c>
      <c r="AD37" s="29">
        <f t="shared" si="7"/>
        <v>-130082</v>
      </c>
      <c r="AE37" s="29">
        <f t="shared" si="7"/>
        <v>-55792.2</v>
      </c>
      <c r="AF37" s="29">
        <f>SUM(AF27:AF36)</f>
        <v>472918.291</v>
      </c>
      <c r="AG37" s="29">
        <f t="shared" si="7"/>
        <v>-1972.0210000000002</v>
      </c>
      <c r="AH37" s="29">
        <f t="shared" si="7"/>
        <v>-169196.611</v>
      </c>
      <c r="AI37" s="29">
        <f t="shared" si="7"/>
        <v>30347</v>
      </c>
      <c r="AJ37" s="29">
        <f t="shared" si="7"/>
        <v>1123</v>
      </c>
      <c r="AK37" s="29">
        <f t="shared" si="7"/>
        <v>-317</v>
      </c>
      <c r="AL37" s="29">
        <f t="shared" si="7"/>
        <v>219586</v>
      </c>
      <c r="AM37" s="29">
        <f t="shared" si="7"/>
        <v>-28847</v>
      </c>
      <c r="AN37" s="29">
        <f t="shared" si="7"/>
        <v>208489</v>
      </c>
      <c r="AO37" s="29">
        <f t="shared" si="7"/>
        <v>8417</v>
      </c>
      <c r="AP37" s="29">
        <f t="shared" si="7"/>
        <v>142030.04</v>
      </c>
      <c r="AQ37" s="29">
        <f t="shared" si="7"/>
        <v>99934</v>
      </c>
      <c r="AR37" s="29">
        <f t="shared" si="7"/>
        <v>-113015</v>
      </c>
      <c r="AS37" s="29">
        <f>SUM(AS27:AS36)</f>
        <v>-87217.75200000001</v>
      </c>
      <c r="AT37" s="29">
        <f aca="true" t="shared" si="8" ref="AT37:BG37">SUM(AT27:AT35)</f>
        <v>-18597</v>
      </c>
      <c r="AU37" s="29">
        <f t="shared" si="8"/>
        <v>3481</v>
      </c>
      <c r="AV37" s="29">
        <f t="shared" si="8"/>
        <v>6215.032999999999</v>
      </c>
      <c r="AW37" s="29">
        <f t="shared" si="8"/>
        <v>61216</v>
      </c>
      <c r="AX37" s="29">
        <f t="shared" si="8"/>
        <v>2849.4000000000015</v>
      </c>
      <c r="AY37" s="29">
        <f t="shared" si="8"/>
        <v>-15054</v>
      </c>
      <c r="AZ37" s="29">
        <f t="shared" si="8"/>
        <v>49886</v>
      </c>
      <c r="BA37" s="29">
        <f t="shared" si="8"/>
        <v>27953.662</v>
      </c>
      <c r="BB37" s="29">
        <f t="shared" si="8"/>
        <v>-7307</v>
      </c>
      <c r="BC37" s="29">
        <f t="shared" si="8"/>
        <v>40995</v>
      </c>
      <c r="BD37" s="29">
        <f t="shared" si="8"/>
        <v>37788.6</v>
      </c>
      <c r="BE37" s="29">
        <f t="shared" si="8"/>
        <v>24898</v>
      </c>
      <c r="BF37" s="29">
        <f t="shared" si="8"/>
        <v>13501</v>
      </c>
      <c r="BG37" s="29">
        <f t="shared" si="8"/>
        <v>6238.5</v>
      </c>
      <c r="BH37" s="29">
        <f>SUM(BH27:BH36)</f>
        <v>3701.656</v>
      </c>
      <c r="BI37" s="29">
        <f>SUM(BI27:BI36)</f>
        <v>1102.71</v>
      </c>
      <c r="BK37" s="29">
        <f t="shared" si="0"/>
        <v>-2909089.9240000015</v>
      </c>
      <c r="BL37" s="29"/>
      <c r="BM37" s="29">
        <f t="shared" si="4"/>
        <v>1550321.8369999994</v>
      </c>
      <c r="BN37" s="29">
        <f t="shared" si="5"/>
        <v>-4459411.761000001</v>
      </c>
      <c r="BO37" s="30"/>
    </row>
    <row r="38" spans="1:67" ht="15" customHeight="1" hidden="1">
      <c r="A38" s="250"/>
      <c r="L38" s="29"/>
      <c r="Q38" s="33"/>
      <c r="R38" s="33"/>
      <c r="W38" s="30"/>
      <c r="BK38" s="29"/>
      <c r="BL38" s="29"/>
      <c r="BM38" s="29"/>
      <c r="BN38" s="29"/>
      <c r="BO38" s="30"/>
    </row>
    <row r="39" spans="1:67" ht="15" customHeight="1" hidden="1">
      <c r="A39" s="246" t="s">
        <v>387</v>
      </c>
      <c r="L39" s="33"/>
      <c r="Q39" s="33"/>
      <c r="R39" s="33"/>
      <c r="W39" s="30">
        <v>0</v>
      </c>
      <c r="X39" s="42">
        <v>0</v>
      </c>
      <c r="Y39" s="30"/>
      <c r="AB39" s="30"/>
      <c r="AH39" s="30"/>
      <c r="AM39" s="30"/>
      <c r="AP39" s="30"/>
      <c r="AR39" s="30"/>
      <c r="AY39" s="30"/>
      <c r="BG39" s="30"/>
      <c r="BK39" s="29"/>
      <c r="BL39" s="29"/>
      <c r="BM39" s="29"/>
      <c r="BN39" s="29"/>
      <c r="BO39" s="30"/>
    </row>
    <row r="40" spans="1:67" ht="15" customHeight="1" hidden="1">
      <c r="A40" s="247" t="s">
        <v>388</v>
      </c>
      <c r="B40" s="30">
        <v>28318.159</v>
      </c>
      <c r="C40" s="30">
        <v>84067</v>
      </c>
      <c r="D40" s="30">
        <v>208</v>
      </c>
      <c r="E40" s="30">
        <v>0</v>
      </c>
      <c r="F40" s="30">
        <v>120762</v>
      </c>
      <c r="G40" s="30">
        <v>42672.889</v>
      </c>
      <c r="H40" s="30">
        <v>23978</v>
      </c>
      <c r="I40" s="30">
        <v>87871</v>
      </c>
      <c r="J40" s="30">
        <v>1057</v>
      </c>
      <c r="K40" s="30">
        <v>15134</v>
      </c>
      <c r="L40" s="132">
        <v>21338</v>
      </c>
      <c r="M40" s="30">
        <v>4909</v>
      </c>
      <c r="N40" s="30">
        <v>1015</v>
      </c>
      <c r="O40" s="30">
        <v>0</v>
      </c>
      <c r="P40" s="30">
        <v>37944</v>
      </c>
      <c r="Q40" s="132">
        <v>24569</v>
      </c>
      <c r="R40" s="30">
        <v>0</v>
      </c>
      <c r="S40" s="30">
        <v>9901.715</v>
      </c>
      <c r="T40" s="30">
        <v>6567</v>
      </c>
      <c r="U40" s="30">
        <v>17173</v>
      </c>
      <c r="V40" s="30">
        <v>338</v>
      </c>
      <c r="W40" s="30">
        <v>1914.641</v>
      </c>
      <c r="X40" s="30">
        <v>27566.333</v>
      </c>
      <c r="Y40" s="30">
        <v>20336</v>
      </c>
      <c r="Z40" s="30">
        <v>8827</v>
      </c>
      <c r="AA40" s="30">
        <v>10962.2</v>
      </c>
      <c r="AB40" s="30">
        <v>11288</v>
      </c>
      <c r="AC40" s="30">
        <v>13024</v>
      </c>
      <c r="AD40" s="30">
        <v>4488</v>
      </c>
      <c r="AE40" s="30">
        <v>495.4</v>
      </c>
      <c r="AF40" s="30">
        <v>1848.313</v>
      </c>
      <c r="AG40" s="30">
        <v>750.056</v>
      </c>
      <c r="AH40" s="30">
        <v>13084.226</v>
      </c>
      <c r="AI40" s="30">
        <v>4488</v>
      </c>
      <c r="AJ40" s="30">
        <v>284</v>
      </c>
      <c r="AK40" s="30">
        <v>794</v>
      </c>
      <c r="AL40" s="30">
        <v>0</v>
      </c>
      <c r="AM40" s="30">
        <v>721</v>
      </c>
      <c r="AN40" s="30">
        <v>906</v>
      </c>
      <c r="AO40" s="30">
        <v>116</v>
      </c>
      <c r="AP40" s="30">
        <v>6380.5</v>
      </c>
      <c r="AQ40" s="30">
        <v>1837</v>
      </c>
      <c r="AR40" s="30">
        <v>0</v>
      </c>
      <c r="AS40" s="30">
        <v>995.2</v>
      </c>
      <c r="AT40" s="30">
        <v>0</v>
      </c>
      <c r="AU40" s="30">
        <v>0</v>
      </c>
      <c r="AV40" s="30">
        <v>1509.644</v>
      </c>
      <c r="AW40" s="30">
        <v>672</v>
      </c>
      <c r="AX40" s="30">
        <v>1109</v>
      </c>
      <c r="AY40" s="30">
        <v>0</v>
      </c>
      <c r="AZ40" s="30">
        <v>550</v>
      </c>
      <c r="BA40" s="30">
        <v>105.656</v>
      </c>
      <c r="BB40" s="30">
        <v>630</v>
      </c>
      <c r="BC40" s="30">
        <v>40</v>
      </c>
      <c r="BD40" s="30">
        <v>139</v>
      </c>
      <c r="BE40" s="30">
        <v>0</v>
      </c>
      <c r="BF40" s="30">
        <v>1327</v>
      </c>
      <c r="BG40" s="30">
        <v>0</v>
      </c>
      <c r="BH40" s="30">
        <v>0</v>
      </c>
      <c r="BI40" s="30">
        <v>231.328</v>
      </c>
      <c r="BK40" s="29">
        <f t="shared" si="0"/>
        <v>665242.2599999998</v>
      </c>
      <c r="BL40" s="29"/>
      <c r="BM40" s="29">
        <f t="shared" si="4"/>
        <v>106458.844</v>
      </c>
      <c r="BN40" s="29">
        <f t="shared" si="5"/>
        <v>558783.4159999999</v>
      </c>
      <c r="BO40" s="30"/>
    </row>
    <row r="41" spans="1:67" ht="15" customHeight="1" hidden="1">
      <c r="A41" s="247" t="s">
        <v>389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-12193.285</v>
      </c>
      <c r="H41" s="30">
        <v>0</v>
      </c>
      <c r="I41" s="30">
        <v>6303</v>
      </c>
      <c r="J41" s="30">
        <v>0</v>
      </c>
      <c r="K41" s="30">
        <v>862</v>
      </c>
      <c r="L41" s="132">
        <v>2198</v>
      </c>
      <c r="M41" s="30">
        <v>0</v>
      </c>
      <c r="N41" s="30">
        <v>0</v>
      </c>
      <c r="O41" s="30">
        <v>0</v>
      </c>
      <c r="P41" s="30">
        <v>0</v>
      </c>
      <c r="Q41" s="132">
        <v>18695</v>
      </c>
      <c r="R41" s="30">
        <v>0</v>
      </c>
      <c r="S41" s="30">
        <v>0</v>
      </c>
      <c r="T41" s="30">
        <v>0</v>
      </c>
      <c r="U41" s="30">
        <v>387</v>
      </c>
      <c r="V41" s="30">
        <v>318</v>
      </c>
      <c r="W41" s="30">
        <v>28.654</v>
      </c>
      <c r="X41" s="30">
        <v>0</v>
      </c>
      <c r="Y41" s="30">
        <v>0</v>
      </c>
      <c r="Z41" s="30">
        <v>459</v>
      </c>
      <c r="AA41" s="30">
        <v>0</v>
      </c>
      <c r="AB41" s="30">
        <v>0</v>
      </c>
      <c r="AC41" s="30">
        <v>0</v>
      </c>
      <c r="AD41" s="30">
        <v>26</v>
      </c>
      <c r="AE41" s="30">
        <v>79.4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2</v>
      </c>
      <c r="AL41" s="30">
        <v>12104</v>
      </c>
      <c r="AM41" s="30">
        <v>449</v>
      </c>
      <c r="AN41" s="30">
        <v>0</v>
      </c>
      <c r="AO41" s="30">
        <v>0</v>
      </c>
      <c r="AP41" s="30">
        <v>0</v>
      </c>
      <c r="AQ41" s="30">
        <v>156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51</v>
      </c>
      <c r="AX41" s="30">
        <v>0</v>
      </c>
      <c r="AY41" s="30">
        <v>410</v>
      </c>
      <c r="AZ41" s="30">
        <v>69</v>
      </c>
      <c r="BA41" s="30">
        <v>0</v>
      </c>
      <c r="BB41" s="30">
        <v>0</v>
      </c>
      <c r="BC41" s="30">
        <v>10</v>
      </c>
      <c r="BD41" s="30">
        <v>0</v>
      </c>
      <c r="BE41" s="30">
        <v>0</v>
      </c>
      <c r="BF41" s="30">
        <v>0</v>
      </c>
      <c r="BG41" s="134">
        <v>1</v>
      </c>
      <c r="BH41" s="30">
        <v>0</v>
      </c>
      <c r="BI41" s="30">
        <v>0</v>
      </c>
      <c r="BK41" s="29">
        <f t="shared" si="0"/>
        <v>30414.769</v>
      </c>
      <c r="BL41" s="29"/>
      <c r="BM41" s="29">
        <f t="shared" si="4"/>
        <v>12964</v>
      </c>
      <c r="BN41" s="29">
        <f>+B41+SUM(F41:AA41)+AC41+AD41+AE41+AF41+AG41+AH41+AJ41+AK41+AN41+AP41+AQ41+AR41+AT41+AU41+AW41+AZ41+BB41+BC41+BD41+BI41</f>
        <v>17450.769</v>
      </c>
      <c r="BO41" s="30"/>
    </row>
    <row r="42" spans="1:67" ht="15" customHeight="1" hidden="1">
      <c r="A42" s="254" t="s">
        <v>390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9083.293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291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K42" s="29">
        <f t="shared" si="0"/>
        <v>9374.293</v>
      </c>
      <c r="BL42" s="29"/>
      <c r="BM42" s="29">
        <f t="shared" si="4"/>
        <v>291</v>
      </c>
      <c r="BN42" s="29">
        <f>+B42+SUM(F42:AA42)+AC42+AD42+AE42+AF42+AG42+AH42+AJ42+AK42+AN42+AP42+AQ42+AR42+AT42+AU42+AW42+AZ42+BB42+BC42+BD42+BI42</f>
        <v>9083.293</v>
      </c>
      <c r="BO42" s="30"/>
    </row>
    <row r="43" spans="1:67" ht="15" customHeight="1" hidden="1">
      <c r="A43" s="247" t="s">
        <v>391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K43" s="29">
        <f t="shared" si="0"/>
        <v>0</v>
      </c>
      <c r="BL43" s="29"/>
      <c r="BM43" s="29">
        <f t="shared" si="4"/>
        <v>0</v>
      </c>
      <c r="BN43" s="29">
        <f t="shared" si="5"/>
        <v>0</v>
      </c>
      <c r="BO43" s="30"/>
    </row>
    <row r="44" spans="1:67" ht="15" customHeight="1" hidden="1">
      <c r="A44" s="247" t="s">
        <v>392</v>
      </c>
      <c r="B44" s="30">
        <v>51499.31</v>
      </c>
      <c r="C44" s="30">
        <v>125004</v>
      </c>
      <c r="D44" s="30">
        <v>25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8195</v>
      </c>
      <c r="L44" s="132">
        <v>0</v>
      </c>
      <c r="M44" s="30">
        <v>0</v>
      </c>
      <c r="N44" s="30">
        <v>0</v>
      </c>
      <c r="O44" s="30">
        <v>6152</v>
      </c>
      <c r="P44" s="30">
        <v>0</v>
      </c>
      <c r="Q44" s="132">
        <v>-7014</v>
      </c>
      <c r="R44" s="132">
        <v>3531</v>
      </c>
      <c r="S44" s="30">
        <v>13885.82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42">
        <v>721</v>
      </c>
      <c r="Z44" s="30">
        <v>10539</v>
      </c>
      <c r="AA44" s="30">
        <v>3734.9</v>
      </c>
      <c r="AB44" s="42">
        <v>17343</v>
      </c>
      <c r="AC44" s="30">
        <v>1939</v>
      </c>
      <c r="AD44" s="30">
        <v>1406</v>
      </c>
      <c r="AE44" s="30">
        <v>0</v>
      </c>
      <c r="AF44" s="30">
        <v>0</v>
      </c>
      <c r="AG44" s="30">
        <v>105.731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28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107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1116.43</v>
      </c>
      <c r="BI44" s="30">
        <v>0</v>
      </c>
      <c r="BK44" s="29">
        <f t="shared" si="0"/>
        <v>238318.191</v>
      </c>
      <c r="BL44" s="29"/>
      <c r="BM44" s="29">
        <f t="shared" si="4"/>
        <v>143595.43</v>
      </c>
      <c r="BN44" s="29">
        <f t="shared" si="5"/>
        <v>94722.761</v>
      </c>
      <c r="BO44" s="30"/>
    </row>
    <row r="45" spans="1:67" ht="15" customHeight="1" hidden="1">
      <c r="A45" s="247"/>
      <c r="L45" s="132"/>
      <c r="Q45" s="33"/>
      <c r="R45" s="33"/>
      <c r="W45" s="30"/>
      <c r="Y45" s="29"/>
      <c r="AB45" s="29"/>
      <c r="AH45" s="29"/>
      <c r="AM45" s="29"/>
      <c r="AP45" s="29"/>
      <c r="AR45" s="29"/>
      <c r="AY45" s="29"/>
      <c r="BG45" s="29"/>
      <c r="BK45" s="29"/>
      <c r="BL45" s="29"/>
      <c r="BM45" s="29"/>
      <c r="BN45" s="29"/>
      <c r="BO45" s="30"/>
    </row>
    <row r="46" spans="1:67" ht="15" customHeight="1">
      <c r="A46" s="260" t="s">
        <v>387</v>
      </c>
      <c r="B46" s="29">
        <f>SUM(B40:B44)</f>
        <v>79817.469</v>
      </c>
      <c r="C46" s="29">
        <f aca="true" t="shared" si="9" ref="C46:BG46">SUM(C40:C44)</f>
        <v>209071</v>
      </c>
      <c r="D46" s="29">
        <f t="shared" si="9"/>
        <v>233</v>
      </c>
      <c r="E46" s="29">
        <f t="shared" si="9"/>
        <v>0</v>
      </c>
      <c r="F46" s="29">
        <f t="shared" si="9"/>
        <v>120762</v>
      </c>
      <c r="G46" s="29">
        <f t="shared" si="9"/>
        <v>39562.897000000004</v>
      </c>
      <c r="H46" s="29">
        <f t="shared" si="9"/>
        <v>23978</v>
      </c>
      <c r="I46" s="29">
        <f t="shared" si="9"/>
        <v>94174</v>
      </c>
      <c r="J46" s="29">
        <f t="shared" si="9"/>
        <v>1057</v>
      </c>
      <c r="K46" s="29">
        <f t="shared" si="9"/>
        <v>24191</v>
      </c>
      <c r="L46" s="29">
        <f t="shared" si="9"/>
        <v>23536</v>
      </c>
      <c r="M46" s="29">
        <f t="shared" si="9"/>
        <v>4909</v>
      </c>
      <c r="N46" s="29">
        <f t="shared" si="9"/>
        <v>1015</v>
      </c>
      <c r="O46" s="29">
        <f t="shared" si="9"/>
        <v>6152</v>
      </c>
      <c r="P46" s="29">
        <f t="shared" si="9"/>
        <v>37944</v>
      </c>
      <c r="Q46" s="29">
        <f t="shared" si="9"/>
        <v>36250</v>
      </c>
      <c r="R46" s="29">
        <f t="shared" si="9"/>
        <v>3531</v>
      </c>
      <c r="S46" s="29">
        <f t="shared" si="9"/>
        <v>23787.535</v>
      </c>
      <c r="T46" s="29">
        <f t="shared" si="9"/>
        <v>6567</v>
      </c>
      <c r="U46" s="29">
        <f t="shared" si="9"/>
        <v>17560</v>
      </c>
      <c r="V46" s="29">
        <f t="shared" si="9"/>
        <v>656</v>
      </c>
      <c r="W46" s="29">
        <f t="shared" si="9"/>
        <v>1943.295</v>
      </c>
      <c r="X46" s="29">
        <f t="shared" si="9"/>
        <v>27566.333</v>
      </c>
      <c r="Y46" s="29">
        <f t="shared" si="9"/>
        <v>21057</v>
      </c>
      <c r="Z46" s="29">
        <f t="shared" si="9"/>
        <v>19825</v>
      </c>
      <c r="AA46" s="29">
        <f t="shared" si="9"/>
        <v>14697.1</v>
      </c>
      <c r="AB46" s="29">
        <f t="shared" si="9"/>
        <v>28631</v>
      </c>
      <c r="AC46" s="29">
        <f t="shared" si="9"/>
        <v>14963</v>
      </c>
      <c r="AD46" s="29">
        <f t="shared" si="9"/>
        <v>5920</v>
      </c>
      <c r="AE46" s="29">
        <f t="shared" si="9"/>
        <v>574.8</v>
      </c>
      <c r="AF46" s="29">
        <f>SUM(AF40:AF45)</f>
        <v>1848.313</v>
      </c>
      <c r="AG46" s="29">
        <f t="shared" si="9"/>
        <v>855.787</v>
      </c>
      <c r="AH46" s="29">
        <f t="shared" si="9"/>
        <v>13084.226</v>
      </c>
      <c r="AI46" s="29">
        <f t="shared" si="9"/>
        <v>4488</v>
      </c>
      <c r="AJ46" s="29">
        <f t="shared" si="9"/>
        <v>284</v>
      </c>
      <c r="AK46" s="29">
        <f t="shared" si="9"/>
        <v>796</v>
      </c>
      <c r="AL46" s="29">
        <f t="shared" si="9"/>
        <v>12104</v>
      </c>
      <c r="AM46" s="29">
        <f t="shared" si="9"/>
        <v>1170</v>
      </c>
      <c r="AN46" s="29">
        <f t="shared" si="9"/>
        <v>906</v>
      </c>
      <c r="AO46" s="29">
        <f t="shared" si="9"/>
        <v>116</v>
      </c>
      <c r="AP46" s="29">
        <f t="shared" si="9"/>
        <v>6380.5</v>
      </c>
      <c r="AQ46" s="29">
        <f t="shared" si="9"/>
        <v>2021</v>
      </c>
      <c r="AR46" s="29">
        <f t="shared" si="9"/>
        <v>0</v>
      </c>
      <c r="AS46" s="29">
        <f>SUM(AS40:AS45)</f>
        <v>995.2</v>
      </c>
      <c r="AT46" s="29">
        <f t="shared" si="9"/>
        <v>0</v>
      </c>
      <c r="AU46" s="29">
        <f t="shared" si="9"/>
        <v>0</v>
      </c>
      <c r="AV46" s="29">
        <f t="shared" si="9"/>
        <v>1509.644</v>
      </c>
      <c r="AW46" s="29">
        <f t="shared" si="9"/>
        <v>723</v>
      </c>
      <c r="AX46" s="29">
        <f t="shared" si="9"/>
        <v>1109</v>
      </c>
      <c r="AY46" s="29">
        <f>SUM(AY40:AY44)</f>
        <v>701</v>
      </c>
      <c r="AZ46" s="29">
        <f t="shared" si="9"/>
        <v>619</v>
      </c>
      <c r="BA46" s="29">
        <f t="shared" si="9"/>
        <v>105.656</v>
      </c>
      <c r="BB46" s="29">
        <f t="shared" si="9"/>
        <v>737</v>
      </c>
      <c r="BC46" s="29">
        <f t="shared" si="9"/>
        <v>50</v>
      </c>
      <c r="BD46" s="29">
        <f t="shared" si="9"/>
        <v>139</v>
      </c>
      <c r="BE46" s="29">
        <f t="shared" si="9"/>
        <v>0</v>
      </c>
      <c r="BF46" s="29">
        <f t="shared" si="9"/>
        <v>1327</v>
      </c>
      <c r="BG46" s="29">
        <f t="shared" si="9"/>
        <v>1</v>
      </c>
      <c r="BH46" s="29">
        <f>SUM(BH40:BH45)</f>
        <v>1116.43</v>
      </c>
      <c r="BI46" s="29">
        <f>SUM(BI40:BI45)</f>
        <v>231.328</v>
      </c>
      <c r="BK46" s="29">
        <f t="shared" si="0"/>
        <v>943349.5129999999</v>
      </c>
      <c r="BL46" s="29"/>
      <c r="BM46" s="29">
        <f t="shared" si="4"/>
        <v>263309.27400000003</v>
      </c>
      <c r="BN46" s="29">
        <f t="shared" si="5"/>
        <v>680040.239</v>
      </c>
      <c r="BO46" s="30"/>
    </row>
    <row r="47" spans="1:67" ht="15" customHeight="1" hidden="1">
      <c r="A47" s="250"/>
      <c r="L47" s="29"/>
      <c r="Q47" s="33"/>
      <c r="R47" s="33"/>
      <c r="W47" s="30"/>
      <c r="BK47" s="29"/>
      <c r="BL47" s="29"/>
      <c r="BM47" s="29"/>
      <c r="BN47" s="29"/>
      <c r="BO47" s="30"/>
    </row>
    <row r="48" spans="1:67" ht="15" customHeight="1" hidden="1">
      <c r="A48" s="246" t="s">
        <v>393</v>
      </c>
      <c r="L48" s="33"/>
      <c r="Q48" s="33"/>
      <c r="R48" s="33"/>
      <c r="W48" s="30"/>
      <c r="Y48" s="30"/>
      <c r="AB48" s="30"/>
      <c r="AH48" s="30"/>
      <c r="AM48" s="30"/>
      <c r="AP48" s="30"/>
      <c r="AR48" s="30"/>
      <c r="AY48" s="30"/>
      <c r="BG48" s="30"/>
      <c r="BK48" s="29"/>
      <c r="BL48" s="29"/>
      <c r="BM48" s="29"/>
      <c r="BN48" s="29"/>
      <c r="BO48" s="30"/>
    </row>
    <row r="49" spans="1:67" ht="15" customHeight="1" hidden="1">
      <c r="A49" s="247" t="s">
        <v>388</v>
      </c>
      <c r="B49" s="30">
        <v>22748</v>
      </c>
      <c r="C49" s="30">
        <v>104662</v>
      </c>
      <c r="D49" s="30">
        <v>2419</v>
      </c>
      <c r="E49" s="30">
        <v>495</v>
      </c>
      <c r="F49" s="30">
        <v>122225</v>
      </c>
      <c r="G49" s="30">
        <v>111029.658</v>
      </c>
      <c r="H49" s="30">
        <v>50260</v>
      </c>
      <c r="I49" s="30">
        <v>41156.3</v>
      </c>
      <c r="J49" s="30">
        <v>1067</v>
      </c>
      <c r="K49" s="30">
        <v>20423</v>
      </c>
      <c r="L49" s="132">
        <v>41809</v>
      </c>
      <c r="M49" s="30">
        <v>23790</v>
      </c>
      <c r="N49" s="30">
        <v>4920</v>
      </c>
      <c r="O49" s="30">
        <v>3341</v>
      </c>
      <c r="P49" s="30">
        <v>37995</v>
      </c>
      <c r="Q49" s="132">
        <v>36853</v>
      </c>
      <c r="R49" s="132">
        <v>0</v>
      </c>
      <c r="S49" s="30">
        <v>10205.982</v>
      </c>
      <c r="T49" s="30">
        <v>12786</v>
      </c>
      <c r="U49" s="30">
        <v>34363</v>
      </c>
      <c r="V49" s="30">
        <v>682</v>
      </c>
      <c r="W49" s="30">
        <v>3727.508</v>
      </c>
      <c r="X49" s="30">
        <v>36609.356999999996</v>
      </c>
      <c r="Y49" s="30">
        <v>31808</v>
      </c>
      <c r="Z49" s="30">
        <v>20842</v>
      </c>
      <c r="AA49" s="30">
        <v>20644.4</v>
      </c>
      <c r="AB49" s="30">
        <v>12515</v>
      </c>
      <c r="AC49" s="30">
        <v>14418</v>
      </c>
      <c r="AD49" s="30">
        <v>6655</v>
      </c>
      <c r="AE49" s="30">
        <v>1559</v>
      </c>
      <c r="AF49" s="30">
        <v>1663.389</v>
      </c>
      <c r="AG49" s="30">
        <v>1500.113</v>
      </c>
      <c r="AH49" s="30">
        <v>15991.832</v>
      </c>
      <c r="AI49" s="30">
        <f>29314+3355-1</f>
        <v>32668</v>
      </c>
      <c r="AJ49" s="30">
        <f>1857+497</f>
        <v>2354</v>
      </c>
      <c r="AK49" s="30">
        <v>0</v>
      </c>
      <c r="AL49" s="30">
        <v>32076</v>
      </c>
      <c r="AM49" s="30">
        <v>1219</v>
      </c>
      <c r="AN49" s="30">
        <v>3869</v>
      </c>
      <c r="AO49" s="30">
        <v>520</v>
      </c>
      <c r="AP49" s="30">
        <v>5230</v>
      </c>
      <c r="AQ49" s="30">
        <v>919</v>
      </c>
      <c r="AR49" s="30">
        <v>6435</v>
      </c>
      <c r="AS49" s="30">
        <v>3645.064</v>
      </c>
      <c r="AT49" s="30">
        <v>2963</v>
      </c>
      <c r="AU49" s="30">
        <v>152</v>
      </c>
      <c r="AV49" s="30">
        <v>6038.577</v>
      </c>
      <c r="AW49" s="30">
        <v>515</v>
      </c>
      <c r="AX49" s="30">
        <v>3402</v>
      </c>
      <c r="AY49" s="30">
        <v>64</v>
      </c>
      <c r="AZ49" s="30">
        <v>738</v>
      </c>
      <c r="BA49" s="30">
        <v>390.404</v>
      </c>
      <c r="BB49" s="30">
        <v>1889</v>
      </c>
      <c r="BC49" s="30">
        <v>1050</v>
      </c>
      <c r="BD49" s="30">
        <v>232</v>
      </c>
      <c r="BE49" s="30">
        <v>2562</v>
      </c>
      <c r="BF49" s="30">
        <v>1327</v>
      </c>
      <c r="BG49" s="30">
        <v>553</v>
      </c>
      <c r="BH49" s="30">
        <v>292.09</v>
      </c>
      <c r="BI49" s="30">
        <v>0</v>
      </c>
      <c r="BK49" s="29">
        <f t="shared" si="0"/>
        <v>962266.674</v>
      </c>
      <c r="BL49" s="29"/>
      <c r="BM49" s="29">
        <f aca="true" t="shared" si="10" ref="BM49:BM72">+C49+D49+E49+AB49+AI49+AL49+AM49+AO49+AS49+AV49+AX49+AY49+BB49+BE49+BF49+BG49+BH49</f>
        <v>206346.731</v>
      </c>
      <c r="BN49" s="29">
        <f aca="true" t="shared" si="11" ref="BN49:BN72">+B49+SUM(F49:AA49)+AC49+AD49+AE49+AF49+AG49+AH49+AJ49+AK49+AN49+AP49+AQ49+AR49+AT49+AU49+AW49+AZ49+BA49+BC49+BD49+BI49</f>
        <v>755919.943</v>
      </c>
      <c r="BO49" s="30"/>
    </row>
    <row r="50" spans="1:67" ht="15" customHeight="1" hidden="1">
      <c r="A50" s="247" t="s">
        <v>394</v>
      </c>
      <c r="B50" s="30">
        <v>4035</v>
      </c>
      <c r="C50" s="30">
        <v>4035</v>
      </c>
      <c r="D50" s="30">
        <v>0</v>
      </c>
      <c r="E50" s="30">
        <v>0</v>
      </c>
      <c r="F50" s="30">
        <v>0</v>
      </c>
      <c r="G50" s="30">
        <v>0</v>
      </c>
      <c r="H50" s="30">
        <v>12112</v>
      </c>
      <c r="I50" s="30">
        <v>47508.2</v>
      </c>
      <c r="J50" s="30"/>
      <c r="K50" s="30">
        <f>2715+27274</f>
        <v>29989</v>
      </c>
      <c r="L50" s="42">
        <v>0</v>
      </c>
      <c r="M50" s="30">
        <v>0</v>
      </c>
      <c r="N50" s="30">
        <v>0</v>
      </c>
      <c r="O50" s="30">
        <v>0</v>
      </c>
      <c r="P50" s="30">
        <v>0</v>
      </c>
      <c r="Q50" s="132">
        <v>-14373</v>
      </c>
      <c r="R50" s="132">
        <v>9582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2898</v>
      </c>
      <c r="AA50" s="30">
        <v>0</v>
      </c>
      <c r="AB50" s="42">
        <v>897</v>
      </c>
      <c r="AC50" s="30">
        <v>0</v>
      </c>
      <c r="AD50" s="30">
        <v>0</v>
      </c>
      <c r="AE50" s="30">
        <v>0</v>
      </c>
      <c r="AF50" s="30">
        <v>0</v>
      </c>
      <c r="AG50" s="30">
        <v>136.677</v>
      </c>
      <c r="AH50" s="42">
        <v>0</v>
      </c>
      <c r="AI50" s="30">
        <v>0</v>
      </c>
      <c r="AJ50" s="30">
        <v>0</v>
      </c>
      <c r="AK50" s="30">
        <v>1203</v>
      </c>
      <c r="AL50" s="30">
        <v>0</v>
      </c>
      <c r="AM50" s="42">
        <v>902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1656.427</v>
      </c>
      <c r="AT50" s="30">
        <v>0</v>
      </c>
      <c r="AU50" s="30">
        <v>1500</v>
      </c>
      <c r="AV50" s="30">
        <v>0</v>
      </c>
      <c r="AW50" s="30">
        <v>1600</v>
      </c>
      <c r="AX50" s="30"/>
      <c r="AY50" s="42">
        <v>585</v>
      </c>
      <c r="AZ50" s="30"/>
      <c r="BA50" s="30">
        <v>1227.124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42">
        <v>1648</v>
      </c>
      <c r="BH50" s="30">
        <v>284.046</v>
      </c>
      <c r="BI50" s="30">
        <v>0</v>
      </c>
      <c r="BK50" s="29">
        <f t="shared" si="0"/>
        <v>107425.47399999999</v>
      </c>
      <c r="BL50" s="29"/>
      <c r="BM50" s="29">
        <f t="shared" si="10"/>
        <v>10007.473</v>
      </c>
      <c r="BN50" s="29">
        <f t="shared" si="11"/>
        <v>97418.00099999999</v>
      </c>
      <c r="BO50" s="30"/>
    </row>
    <row r="51" spans="1:67" ht="15" customHeight="1" hidden="1">
      <c r="A51" s="247"/>
      <c r="L51" s="132"/>
      <c r="Q51" s="33"/>
      <c r="R51" s="33"/>
      <c r="W51" s="30"/>
      <c r="Y51" s="29"/>
      <c r="AB51" s="29"/>
      <c r="AH51" s="29"/>
      <c r="AM51" s="29"/>
      <c r="AP51" s="29"/>
      <c r="AR51" s="29"/>
      <c r="AY51" s="29"/>
      <c r="BG51" s="29"/>
      <c r="BK51" s="29"/>
      <c r="BL51" s="29"/>
      <c r="BM51" s="29"/>
      <c r="BN51" s="29"/>
      <c r="BO51" s="30"/>
    </row>
    <row r="52" spans="1:67" ht="15" customHeight="1">
      <c r="A52" s="260" t="s">
        <v>395</v>
      </c>
      <c r="B52" s="29">
        <f>SUM(B49:B51)</f>
        <v>26783</v>
      </c>
      <c r="C52" s="29">
        <f aca="true" t="shared" si="12" ref="C52:BG52">SUM(C49:C51)</f>
        <v>108697</v>
      </c>
      <c r="D52" s="29">
        <f t="shared" si="12"/>
        <v>2419</v>
      </c>
      <c r="E52" s="29">
        <f t="shared" si="12"/>
        <v>495</v>
      </c>
      <c r="F52" s="29">
        <f t="shared" si="12"/>
        <v>122225</v>
      </c>
      <c r="G52" s="29">
        <f t="shared" si="12"/>
        <v>111029.658</v>
      </c>
      <c r="H52" s="29">
        <f t="shared" si="12"/>
        <v>62372</v>
      </c>
      <c r="I52" s="29">
        <f t="shared" si="12"/>
        <v>88664.5</v>
      </c>
      <c r="J52" s="29">
        <f t="shared" si="12"/>
        <v>1067</v>
      </c>
      <c r="K52" s="29">
        <f t="shared" si="12"/>
        <v>50412</v>
      </c>
      <c r="L52" s="29">
        <f t="shared" si="12"/>
        <v>41809</v>
      </c>
      <c r="M52" s="29">
        <f t="shared" si="12"/>
        <v>23790</v>
      </c>
      <c r="N52" s="29">
        <f t="shared" si="12"/>
        <v>4920</v>
      </c>
      <c r="O52" s="29">
        <f t="shared" si="12"/>
        <v>3341</v>
      </c>
      <c r="P52" s="29">
        <f t="shared" si="12"/>
        <v>37995</v>
      </c>
      <c r="Q52" s="29">
        <f t="shared" si="12"/>
        <v>22480</v>
      </c>
      <c r="R52" s="29">
        <f t="shared" si="12"/>
        <v>9582</v>
      </c>
      <c r="S52" s="29">
        <f t="shared" si="12"/>
        <v>10205.982</v>
      </c>
      <c r="T52" s="29">
        <f t="shared" si="12"/>
        <v>12786</v>
      </c>
      <c r="U52" s="29">
        <f t="shared" si="12"/>
        <v>34363</v>
      </c>
      <c r="V52" s="29">
        <f t="shared" si="12"/>
        <v>682</v>
      </c>
      <c r="W52" s="29">
        <f>SUM(W49:W51)</f>
        <v>3727.508</v>
      </c>
      <c r="X52" s="29">
        <f>SUM(X49:X51)</f>
        <v>36609.356999999996</v>
      </c>
      <c r="Y52" s="29">
        <f t="shared" si="12"/>
        <v>31808</v>
      </c>
      <c r="Z52" s="29">
        <f t="shared" si="12"/>
        <v>23740</v>
      </c>
      <c r="AA52" s="29">
        <f t="shared" si="12"/>
        <v>20644.4</v>
      </c>
      <c r="AB52" s="29">
        <f t="shared" si="12"/>
        <v>13412</v>
      </c>
      <c r="AC52" s="29">
        <f t="shared" si="12"/>
        <v>14418</v>
      </c>
      <c r="AD52" s="29">
        <f t="shared" si="12"/>
        <v>6655</v>
      </c>
      <c r="AE52" s="29">
        <f t="shared" si="12"/>
        <v>1559</v>
      </c>
      <c r="AF52" s="29">
        <f>SUM(AF49:AF51)</f>
        <v>1663.389</v>
      </c>
      <c r="AG52" s="29">
        <f t="shared" si="12"/>
        <v>1636.79</v>
      </c>
      <c r="AH52" s="29">
        <f t="shared" si="12"/>
        <v>15991.832</v>
      </c>
      <c r="AI52" s="29">
        <f t="shared" si="12"/>
        <v>32668</v>
      </c>
      <c r="AJ52" s="29">
        <f t="shared" si="12"/>
        <v>2354</v>
      </c>
      <c r="AK52" s="29">
        <f t="shared" si="12"/>
        <v>1203</v>
      </c>
      <c r="AL52" s="29">
        <f t="shared" si="12"/>
        <v>32076</v>
      </c>
      <c r="AM52" s="29">
        <f t="shared" si="12"/>
        <v>2121</v>
      </c>
      <c r="AN52" s="29">
        <f t="shared" si="12"/>
        <v>3869</v>
      </c>
      <c r="AO52" s="29">
        <f t="shared" si="12"/>
        <v>520</v>
      </c>
      <c r="AP52" s="29">
        <f t="shared" si="12"/>
        <v>5230</v>
      </c>
      <c r="AQ52" s="29">
        <f t="shared" si="12"/>
        <v>919</v>
      </c>
      <c r="AR52" s="29">
        <f t="shared" si="12"/>
        <v>6435</v>
      </c>
      <c r="AS52" s="29">
        <f>SUM(AS49:AS51)</f>
        <v>5301.491</v>
      </c>
      <c r="AT52" s="29">
        <f t="shared" si="12"/>
        <v>2963</v>
      </c>
      <c r="AU52" s="29">
        <f t="shared" si="12"/>
        <v>1652</v>
      </c>
      <c r="AV52" s="29">
        <f t="shared" si="12"/>
        <v>6038.577</v>
      </c>
      <c r="AW52" s="29">
        <f t="shared" si="12"/>
        <v>2115</v>
      </c>
      <c r="AX52" s="29">
        <f t="shared" si="12"/>
        <v>3402</v>
      </c>
      <c r="AY52" s="29">
        <f t="shared" si="12"/>
        <v>649</v>
      </c>
      <c r="AZ52" s="29">
        <f t="shared" si="12"/>
        <v>738</v>
      </c>
      <c r="BA52" s="29">
        <f t="shared" si="12"/>
        <v>1617.528</v>
      </c>
      <c r="BB52" s="29">
        <f t="shared" si="12"/>
        <v>1889</v>
      </c>
      <c r="BC52" s="29">
        <f t="shared" si="12"/>
        <v>1050</v>
      </c>
      <c r="BD52" s="29">
        <f t="shared" si="12"/>
        <v>232</v>
      </c>
      <c r="BE52" s="29">
        <f t="shared" si="12"/>
        <v>2562</v>
      </c>
      <c r="BF52" s="29">
        <f t="shared" si="12"/>
        <v>1327</v>
      </c>
      <c r="BG52" s="29">
        <f t="shared" si="12"/>
        <v>2201</v>
      </c>
      <c r="BH52" s="29">
        <f>SUM(BH49:BH51)</f>
        <v>576.136</v>
      </c>
      <c r="BI52" s="29">
        <f>SUM(BI49:BI51)</f>
        <v>0</v>
      </c>
      <c r="BK52" s="29">
        <f t="shared" si="0"/>
        <v>1069692.148</v>
      </c>
      <c r="BL52" s="29"/>
      <c r="BM52" s="29">
        <f t="shared" si="10"/>
        <v>216354.204</v>
      </c>
      <c r="BN52" s="29">
        <f t="shared" si="11"/>
        <v>853337.9440000001</v>
      </c>
      <c r="BO52" s="30"/>
    </row>
    <row r="53" spans="1:67" ht="15" customHeight="1" hidden="1">
      <c r="A53" s="247"/>
      <c r="L53" s="29"/>
      <c r="Q53" s="33"/>
      <c r="R53" s="33"/>
      <c r="W53" s="30"/>
      <c r="Y53" s="29"/>
      <c r="AB53" s="29"/>
      <c r="AH53" s="29"/>
      <c r="AM53" s="29"/>
      <c r="AP53" s="29"/>
      <c r="AR53" s="29"/>
      <c r="AY53" s="29"/>
      <c r="BG53" s="29"/>
      <c r="BK53" s="29"/>
      <c r="BL53" s="29"/>
      <c r="BM53" s="29"/>
      <c r="BN53" s="29"/>
      <c r="BO53" s="30"/>
    </row>
    <row r="54" spans="1:67" ht="15" customHeight="1">
      <c r="A54" s="246" t="s">
        <v>396</v>
      </c>
      <c r="B54" s="29">
        <v>0.4</v>
      </c>
      <c r="C54" s="29">
        <v>0</v>
      </c>
      <c r="D54" s="29">
        <v>0</v>
      </c>
      <c r="E54" s="29">
        <v>0</v>
      </c>
      <c r="F54" s="29">
        <v>41040</v>
      </c>
      <c r="G54" s="29">
        <v>23193.414</v>
      </c>
      <c r="H54" s="29">
        <v>0</v>
      </c>
      <c r="I54" s="29">
        <v>5869.5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30">
        <v>0</v>
      </c>
      <c r="X54" s="29">
        <v>2106.704</v>
      </c>
      <c r="Y54" s="42">
        <v>4807</v>
      </c>
      <c r="Z54" s="29">
        <v>0</v>
      </c>
      <c r="AA54" s="29">
        <v>0</v>
      </c>
      <c r="AB54" s="29">
        <v>0</v>
      </c>
      <c r="AC54" s="29">
        <v>302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42">
        <v>0</v>
      </c>
      <c r="AN54" s="29">
        <v>0</v>
      </c>
      <c r="AO54" s="29">
        <v>0</v>
      </c>
      <c r="AP54" s="42">
        <v>1075.2</v>
      </c>
      <c r="AQ54" s="29">
        <v>0</v>
      </c>
      <c r="AR54" s="42">
        <v>0</v>
      </c>
      <c r="AS54" s="29">
        <v>6296.691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42">
        <v>0</v>
      </c>
      <c r="AZ54" s="29">
        <v>0</v>
      </c>
      <c r="BA54" s="29">
        <v>0</v>
      </c>
      <c r="BB54" s="29">
        <v>0</v>
      </c>
      <c r="BC54" s="30">
        <v>0</v>
      </c>
      <c r="BD54" s="29">
        <v>0</v>
      </c>
      <c r="BE54" s="29">
        <v>0</v>
      </c>
      <c r="BF54" s="29">
        <v>0</v>
      </c>
      <c r="BG54" s="42">
        <v>0</v>
      </c>
      <c r="BH54" s="42">
        <v>0</v>
      </c>
      <c r="BI54" s="42">
        <v>0</v>
      </c>
      <c r="BK54" s="29">
        <f t="shared" si="0"/>
        <v>84690.909</v>
      </c>
      <c r="BL54" s="29"/>
      <c r="BM54" s="29">
        <f t="shared" si="10"/>
        <v>6296.691</v>
      </c>
      <c r="BN54" s="29">
        <f t="shared" si="11"/>
        <v>78394.218</v>
      </c>
      <c r="BO54" s="30"/>
    </row>
    <row r="55" spans="1:67" ht="15" customHeight="1" hidden="1">
      <c r="A55" s="247"/>
      <c r="L55" s="29"/>
      <c r="Q55" s="33"/>
      <c r="R55" s="33"/>
      <c r="W55" s="30"/>
      <c r="Y55" s="29"/>
      <c r="AM55" s="29"/>
      <c r="AP55" s="29"/>
      <c r="AR55" s="29"/>
      <c r="AY55" s="29"/>
      <c r="BG55" s="29"/>
      <c r="BH55" s="29"/>
      <c r="BI55" s="29"/>
      <c r="BK55" s="29"/>
      <c r="BL55" s="29"/>
      <c r="BM55" s="29"/>
      <c r="BN55" s="29"/>
      <c r="BO55" s="30"/>
    </row>
    <row r="56" spans="1:67" ht="15" customHeight="1">
      <c r="A56" s="246" t="s">
        <v>397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30">
        <v>0</v>
      </c>
      <c r="X56" s="29">
        <v>0</v>
      </c>
      <c r="Y56" s="42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42">
        <v>0</v>
      </c>
      <c r="AN56" s="29">
        <v>0</v>
      </c>
      <c r="AO56" s="29">
        <v>0</v>
      </c>
      <c r="AP56" s="42">
        <v>0</v>
      </c>
      <c r="AQ56" s="29">
        <v>0</v>
      </c>
      <c r="AR56" s="42">
        <v>0</v>
      </c>
      <c r="AS56" s="42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42">
        <v>0</v>
      </c>
      <c r="AZ56" s="29">
        <v>0</v>
      </c>
      <c r="BA56" s="29">
        <v>0</v>
      </c>
      <c r="BB56" s="29">
        <v>0</v>
      </c>
      <c r="BC56" s="30">
        <v>0</v>
      </c>
      <c r="BD56" s="29">
        <v>0</v>
      </c>
      <c r="BE56" s="29">
        <v>0</v>
      </c>
      <c r="BF56" s="29">
        <v>0</v>
      </c>
      <c r="BG56" s="42">
        <v>0</v>
      </c>
      <c r="BH56" s="42">
        <v>0</v>
      </c>
      <c r="BI56" s="42">
        <v>0</v>
      </c>
      <c r="BK56" s="29">
        <f t="shared" si="0"/>
        <v>0</v>
      </c>
      <c r="BL56" s="29"/>
      <c r="BM56" s="29">
        <f t="shared" si="10"/>
        <v>0</v>
      </c>
      <c r="BN56" s="29">
        <f t="shared" si="11"/>
        <v>0</v>
      </c>
      <c r="BO56" s="30"/>
    </row>
    <row r="57" spans="1:67" ht="15" customHeight="1" hidden="1">
      <c r="A57" s="251"/>
      <c r="L57" s="29"/>
      <c r="Q57" s="33"/>
      <c r="R57" s="33"/>
      <c r="W57" s="30"/>
      <c r="BK57" s="29"/>
      <c r="BL57" s="29"/>
      <c r="BM57" s="29"/>
      <c r="BN57" s="29"/>
      <c r="BO57" s="30"/>
    </row>
    <row r="58" spans="1:67" ht="15" customHeight="1">
      <c r="A58" s="246" t="s">
        <v>398</v>
      </c>
      <c r="L58" s="33"/>
      <c r="Q58" s="33"/>
      <c r="R58" s="33"/>
      <c r="W58" s="30"/>
      <c r="Y58" s="29"/>
      <c r="AB58" s="29"/>
      <c r="AH58" s="29"/>
      <c r="AM58" s="29"/>
      <c r="AP58" s="29"/>
      <c r="AR58" s="29"/>
      <c r="AY58" s="29"/>
      <c r="BG58" s="29"/>
      <c r="BK58" s="29"/>
      <c r="BL58" s="29"/>
      <c r="BM58" s="29"/>
      <c r="BN58" s="29"/>
      <c r="BO58" s="30"/>
    </row>
    <row r="59" spans="1:67" ht="15" customHeight="1">
      <c r="A59" s="246" t="s">
        <v>399</v>
      </c>
      <c r="B59" s="29">
        <f aca="true" t="shared" si="13" ref="B59:AG59">+B16-B24+B37-B46-B52+B54-B56</f>
        <v>5958736.096000002</v>
      </c>
      <c r="C59" s="29">
        <f t="shared" si="13"/>
        <v>8820781.1</v>
      </c>
      <c r="D59" s="29">
        <f t="shared" si="13"/>
        <v>48387.799999999996</v>
      </c>
      <c r="E59" s="29">
        <f t="shared" si="13"/>
        <v>9498.5</v>
      </c>
      <c r="F59" s="29">
        <f t="shared" si="13"/>
        <v>4001522.9699999997</v>
      </c>
      <c r="G59" s="29">
        <f t="shared" si="13"/>
        <v>1365077.1330000001</v>
      </c>
      <c r="H59" s="29">
        <f t="shared" si="13"/>
        <v>2156232</v>
      </c>
      <c r="I59" s="29">
        <f t="shared" si="13"/>
        <v>-3086259.1</v>
      </c>
      <c r="J59" s="29">
        <f t="shared" si="13"/>
        <v>207837</v>
      </c>
      <c r="K59" s="29">
        <f t="shared" si="13"/>
        <v>449465</v>
      </c>
      <c r="L59" s="29">
        <f t="shared" si="13"/>
        <v>1645042.67</v>
      </c>
      <c r="M59" s="29">
        <f t="shared" si="13"/>
        <v>-4344</v>
      </c>
      <c r="N59" s="29">
        <f t="shared" si="13"/>
        <v>506787</v>
      </c>
      <c r="O59" s="29">
        <f t="shared" si="13"/>
        <v>270646</v>
      </c>
      <c r="P59" s="29">
        <f t="shared" si="13"/>
        <v>773744</v>
      </c>
      <c r="Q59" s="29">
        <f t="shared" si="13"/>
        <v>131499</v>
      </c>
      <c r="R59" s="29">
        <f t="shared" si="13"/>
        <v>305601</v>
      </c>
      <c r="S59" s="29">
        <f t="shared" si="13"/>
        <v>-803288.8139999998</v>
      </c>
      <c r="T59" s="29">
        <f t="shared" si="13"/>
        <v>178301.2</v>
      </c>
      <c r="U59" s="29">
        <f t="shared" si="13"/>
        <v>-294821</v>
      </c>
      <c r="V59" s="29">
        <f t="shared" si="13"/>
        <v>15819</v>
      </c>
      <c r="W59" s="29">
        <f t="shared" si="13"/>
        <v>430234.72000000003</v>
      </c>
      <c r="X59" s="29">
        <f t="shared" si="13"/>
        <v>-124979.82800000007</v>
      </c>
      <c r="Y59" s="29">
        <f t="shared" si="13"/>
        <v>75266</v>
      </c>
      <c r="Z59" s="29">
        <f t="shared" si="13"/>
        <v>-572312</v>
      </c>
      <c r="AA59" s="29">
        <f t="shared" si="13"/>
        <v>412850.5</v>
      </c>
      <c r="AB59" s="29">
        <f t="shared" si="13"/>
        <v>965858</v>
      </c>
      <c r="AC59" s="29">
        <f t="shared" si="13"/>
        <v>348356.8</v>
      </c>
      <c r="AD59" s="29">
        <f t="shared" si="13"/>
        <v>-7250</v>
      </c>
      <c r="AE59" s="29">
        <f t="shared" si="13"/>
        <v>197321.8</v>
      </c>
      <c r="AF59" s="29">
        <f t="shared" si="13"/>
        <v>356670.853</v>
      </c>
      <c r="AG59" s="29">
        <f t="shared" si="13"/>
        <v>162926.18599999996</v>
      </c>
      <c r="AH59" s="29">
        <f aca="true" t="shared" si="14" ref="AH59:BI59">+AH16-AH24+AH37-AH46-AH52+AH54-AH56</f>
        <v>-38790.98100000004</v>
      </c>
      <c r="AI59" s="29">
        <f t="shared" si="14"/>
        <v>1556805</v>
      </c>
      <c r="AJ59" s="29">
        <f t="shared" si="14"/>
        <v>110606</v>
      </c>
      <c r="AK59" s="29">
        <f t="shared" si="14"/>
        <v>111840</v>
      </c>
      <c r="AL59" s="29">
        <f t="shared" si="14"/>
        <v>357774</v>
      </c>
      <c r="AM59" s="29">
        <f t="shared" si="14"/>
        <v>142837</v>
      </c>
      <c r="AN59" s="29">
        <f t="shared" si="14"/>
        <v>85271</v>
      </c>
      <c r="AO59" s="29">
        <f t="shared" si="14"/>
        <v>-21109</v>
      </c>
      <c r="AP59" s="29">
        <f t="shared" si="14"/>
        <v>176056.14</v>
      </c>
      <c r="AQ59" s="29">
        <f t="shared" si="14"/>
        <v>4142</v>
      </c>
      <c r="AR59" s="29">
        <f t="shared" si="14"/>
        <v>-87055</v>
      </c>
      <c r="AS59" s="29">
        <f t="shared" si="14"/>
        <v>-79233.24799999999</v>
      </c>
      <c r="AT59" s="29">
        <f t="shared" si="14"/>
        <v>-67026</v>
      </c>
      <c r="AU59" s="29">
        <f t="shared" si="14"/>
        <v>30982</v>
      </c>
      <c r="AV59" s="29">
        <f t="shared" si="14"/>
        <v>19193.494</v>
      </c>
      <c r="AW59" s="29">
        <f t="shared" si="14"/>
        <v>-8265</v>
      </c>
      <c r="AX59" s="29">
        <f t="shared" si="14"/>
        <v>-29060.6</v>
      </c>
      <c r="AY59" s="29">
        <f t="shared" si="14"/>
        <v>-48470</v>
      </c>
      <c r="AZ59" s="29">
        <f t="shared" si="14"/>
        <v>11556</v>
      </c>
      <c r="BA59" s="29">
        <f t="shared" si="14"/>
        <v>-15417.619999999999</v>
      </c>
      <c r="BB59" s="29">
        <f t="shared" si="14"/>
        <v>-8878</v>
      </c>
      <c r="BC59" s="29">
        <f t="shared" si="14"/>
        <v>3205</v>
      </c>
      <c r="BD59" s="29">
        <f t="shared" si="14"/>
        <v>568.5999999999985</v>
      </c>
      <c r="BE59" s="29">
        <f t="shared" si="14"/>
        <v>19838</v>
      </c>
      <c r="BF59" s="29">
        <f t="shared" si="14"/>
        <v>5489</v>
      </c>
      <c r="BG59" s="29">
        <f t="shared" si="14"/>
        <v>407</v>
      </c>
      <c r="BH59" s="29">
        <f t="shared" si="14"/>
        <v>-21876.423000000006</v>
      </c>
      <c r="BI59" s="29">
        <f t="shared" si="14"/>
        <v>-283.80399999999986</v>
      </c>
      <c r="BK59" s="29">
        <f t="shared" si="0"/>
        <v>27112312.143999998</v>
      </c>
      <c r="BL59" s="29"/>
      <c r="BM59" s="29">
        <f t="shared" si="10"/>
        <v>11738241.623000002</v>
      </c>
      <c r="BN59" s="29">
        <f t="shared" si="11"/>
        <v>15374070.521000005</v>
      </c>
      <c r="BO59" s="30"/>
    </row>
    <row r="60" spans="1:67" ht="15" customHeight="1" hidden="1">
      <c r="A60" s="251"/>
      <c r="L60" s="29"/>
      <c r="Q60" s="33"/>
      <c r="R60" s="33"/>
      <c r="W60" s="30"/>
      <c r="Y60" s="29"/>
      <c r="AB60" s="29"/>
      <c r="AH60" s="29"/>
      <c r="AM60" s="29"/>
      <c r="AP60" s="29"/>
      <c r="AR60" s="29"/>
      <c r="AY60" s="29"/>
      <c r="BG60" s="29"/>
      <c r="BK60" s="29">
        <f t="shared" si="0"/>
        <v>0</v>
      </c>
      <c r="BL60" s="29"/>
      <c r="BM60" s="29">
        <f t="shared" si="10"/>
        <v>0</v>
      </c>
      <c r="BN60" s="29">
        <f t="shared" si="11"/>
        <v>0</v>
      </c>
      <c r="BO60" s="30"/>
    </row>
    <row r="61" spans="1:67" ht="15" customHeight="1">
      <c r="A61" s="246" t="s">
        <v>400</v>
      </c>
      <c r="B61" s="29">
        <f>+B62-B63</f>
        <v>0</v>
      </c>
      <c r="C61" s="29">
        <f aca="true" t="shared" si="15" ref="C61:L61">+C62-C63</f>
        <v>0</v>
      </c>
      <c r="D61" s="29">
        <f t="shared" si="15"/>
        <v>0</v>
      </c>
      <c r="E61" s="29">
        <f t="shared" si="15"/>
        <v>0</v>
      </c>
      <c r="F61" s="29">
        <f t="shared" si="15"/>
        <v>0</v>
      </c>
      <c r="G61" s="29">
        <f t="shared" si="15"/>
        <v>0</v>
      </c>
      <c r="H61" s="29">
        <f t="shared" si="15"/>
        <v>0</v>
      </c>
      <c r="I61" s="29">
        <f t="shared" si="15"/>
        <v>-22480.4</v>
      </c>
      <c r="J61" s="29">
        <f t="shared" si="15"/>
        <v>0</v>
      </c>
      <c r="K61" s="29">
        <f t="shared" si="15"/>
        <v>0</v>
      </c>
      <c r="L61" s="29">
        <f t="shared" si="15"/>
        <v>0</v>
      </c>
      <c r="M61" s="29">
        <f aca="true" t="shared" si="16" ref="M61:Y61">+M62-M63</f>
        <v>0</v>
      </c>
      <c r="N61" s="29">
        <f t="shared" si="16"/>
        <v>0</v>
      </c>
      <c r="O61" s="29">
        <f t="shared" si="16"/>
        <v>0</v>
      </c>
      <c r="P61" s="29">
        <f t="shared" si="16"/>
        <v>0</v>
      </c>
      <c r="Q61" s="29">
        <f t="shared" si="16"/>
        <v>0</v>
      </c>
      <c r="R61" s="29">
        <f t="shared" si="16"/>
        <v>0</v>
      </c>
      <c r="S61" s="29">
        <f t="shared" si="16"/>
        <v>0</v>
      </c>
      <c r="T61" s="29">
        <f t="shared" si="16"/>
        <v>0</v>
      </c>
      <c r="U61" s="29">
        <f t="shared" si="16"/>
        <v>0</v>
      </c>
      <c r="V61" s="29">
        <f t="shared" si="16"/>
        <v>0</v>
      </c>
      <c r="W61" s="29">
        <f t="shared" si="16"/>
        <v>0</v>
      </c>
      <c r="X61" s="29">
        <f t="shared" si="16"/>
        <v>0</v>
      </c>
      <c r="Y61" s="29">
        <f t="shared" si="16"/>
        <v>0</v>
      </c>
      <c r="Z61" s="29">
        <f aca="true" t="shared" si="17" ref="Z61:BI61">+Z62-Z63</f>
        <v>0</v>
      </c>
      <c r="AA61" s="29">
        <f t="shared" si="17"/>
        <v>0</v>
      </c>
      <c r="AB61" s="29">
        <f t="shared" si="17"/>
        <v>0</v>
      </c>
      <c r="AC61" s="29">
        <f t="shared" si="17"/>
        <v>0</v>
      </c>
      <c r="AD61" s="29">
        <f t="shared" si="17"/>
        <v>0</v>
      </c>
      <c r="AE61" s="29">
        <f t="shared" si="17"/>
        <v>0</v>
      </c>
      <c r="AF61" s="29">
        <f t="shared" si="17"/>
        <v>0</v>
      </c>
      <c r="AG61" s="29">
        <f t="shared" si="17"/>
        <v>0</v>
      </c>
      <c r="AH61" s="29">
        <f t="shared" si="17"/>
        <v>0</v>
      </c>
      <c r="AI61" s="29">
        <f t="shared" si="17"/>
        <v>0</v>
      </c>
      <c r="AJ61" s="29">
        <f t="shared" si="17"/>
        <v>0</v>
      </c>
      <c r="AK61" s="29">
        <f t="shared" si="17"/>
        <v>0</v>
      </c>
      <c r="AL61" s="29">
        <f t="shared" si="17"/>
        <v>0</v>
      </c>
      <c r="AM61" s="29">
        <f t="shared" si="17"/>
        <v>0</v>
      </c>
      <c r="AN61" s="29">
        <f t="shared" si="17"/>
        <v>0</v>
      </c>
      <c r="AO61" s="29">
        <f t="shared" si="17"/>
        <v>0</v>
      </c>
      <c r="AP61" s="29">
        <f t="shared" si="17"/>
        <v>0</v>
      </c>
      <c r="AQ61" s="29">
        <f t="shared" si="17"/>
        <v>0</v>
      </c>
      <c r="AR61" s="29">
        <f t="shared" si="17"/>
        <v>0</v>
      </c>
      <c r="AS61" s="29">
        <f t="shared" si="17"/>
        <v>0</v>
      </c>
      <c r="AT61" s="29">
        <f t="shared" si="17"/>
        <v>0</v>
      </c>
      <c r="AU61" s="29">
        <f t="shared" si="17"/>
        <v>0</v>
      </c>
      <c r="AV61" s="29">
        <f t="shared" si="17"/>
        <v>0</v>
      </c>
      <c r="AW61" s="29">
        <f t="shared" si="17"/>
        <v>0</v>
      </c>
      <c r="AX61" s="29">
        <f t="shared" si="17"/>
        <v>0</v>
      </c>
      <c r="AY61" s="29">
        <f t="shared" si="17"/>
        <v>0</v>
      </c>
      <c r="AZ61" s="29">
        <f t="shared" si="17"/>
        <v>0</v>
      </c>
      <c r="BA61" s="29">
        <f t="shared" si="17"/>
        <v>0</v>
      </c>
      <c r="BB61" s="29">
        <f t="shared" si="17"/>
        <v>0</v>
      </c>
      <c r="BC61" s="29">
        <f t="shared" si="17"/>
        <v>6359</v>
      </c>
      <c r="BD61" s="29">
        <f t="shared" si="17"/>
        <v>0</v>
      </c>
      <c r="BE61" s="29">
        <f t="shared" si="17"/>
        <v>0</v>
      </c>
      <c r="BF61" s="29">
        <f t="shared" si="17"/>
        <v>0</v>
      </c>
      <c r="BG61" s="29">
        <f t="shared" si="17"/>
        <v>0</v>
      </c>
      <c r="BH61" s="29">
        <f t="shared" si="17"/>
        <v>0</v>
      </c>
      <c r="BI61" s="29">
        <f t="shared" si="17"/>
        <v>0</v>
      </c>
      <c r="BK61" s="29">
        <f t="shared" si="0"/>
        <v>-16121.400000000001</v>
      </c>
      <c r="BL61" s="29"/>
      <c r="BM61" s="29">
        <f t="shared" si="10"/>
        <v>0</v>
      </c>
      <c r="BN61" s="29">
        <f t="shared" si="11"/>
        <v>-16121.400000000001</v>
      </c>
      <c r="BO61" s="30"/>
    </row>
    <row r="62" spans="1:67" ht="15" customHeight="1" hidden="1">
      <c r="A62" s="247" t="s">
        <v>401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f>L63+L64</f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30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f>+AH63-AH64</f>
        <v>0</v>
      </c>
      <c r="AI62" s="29">
        <v>0</v>
      </c>
      <c r="AJ62" s="29">
        <v>0</v>
      </c>
      <c r="AK62" s="29">
        <f>+AK63-AK64</f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f>+AS63-AS64</f>
        <v>0</v>
      </c>
      <c r="AT62" s="29">
        <v>0</v>
      </c>
      <c r="AU62" s="29">
        <v>0</v>
      </c>
      <c r="AV62" s="29">
        <f>+AV63-AV64</f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30">
        <v>6359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K62" s="29">
        <f t="shared" si="0"/>
        <v>6359</v>
      </c>
      <c r="BL62" s="29"/>
      <c r="BM62" s="29">
        <f t="shared" si="10"/>
        <v>0</v>
      </c>
      <c r="BN62" s="29">
        <f t="shared" si="11"/>
        <v>6359</v>
      </c>
      <c r="BO62" s="30"/>
    </row>
    <row r="63" spans="1:67" ht="15" customHeight="1" hidden="1">
      <c r="A63" s="247" t="s">
        <v>402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22480.4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30">
        <v>0</v>
      </c>
      <c r="X63" s="29">
        <v>0</v>
      </c>
      <c r="Y63" s="42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f>+AH64-AH65</f>
        <v>0</v>
      </c>
      <c r="AI63" s="29">
        <v>0</v>
      </c>
      <c r="AJ63" s="29">
        <v>0</v>
      </c>
      <c r="AK63" s="29">
        <f>+AK64-AK65</f>
        <v>0</v>
      </c>
      <c r="AL63" s="29">
        <v>0</v>
      </c>
      <c r="AM63" s="42">
        <v>0</v>
      </c>
      <c r="AN63" s="29">
        <v>0</v>
      </c>
      <c r="AO63" s="29">
        <v>0</v>
      </c>
      <c r="AP63" s="42">
        <v>0</v>
      </c>
      <c r="AQ63" s="29">
        <v>0</v>
      </c>
      <c r="AR63" s="42">
        <v>0</v>
      </c>
      <c r="AS63" s="29">
        <f>+AS64-AS65</f>
        <v>0</v>
      </c>
      <c r="AT63" s="29">
        <v>0</v>
      </c>
      <c r="AU63" s="29">
        <v>0</v>
      </c>
      <c r="AV63" s="29">
        <f>+AV64-AV65</f>
        <v>0</v>
      </c>
      <c r="AW63" s="29">
        <v>0</v>
      </c>
      <c r="AX63" s="29">
        <v>0</v>
      </c>
      <c r="AY63" s="42">
        <v>0</v>
      </c>
      <c r="AZ63" s="29">
        <v>0</v>
      </c>
      <c r="BA63" s="29">
        <v>0</v>
      </c>
      <c r="BB63" s="29">
        <v>0</v>
      </c>
      <c r="BC63" s="30">
        <v>0</v>
      </c>
      <c r="BD63" s="29">
        <v>0</v>
      </c>
      <c r="BE63" s="29">
        <v>0</v>
      </c>
      <c r="BF63" s="29">
        <v>0</v>
      </c>
      <c r="BG63" s="42">
        <v>0</v>
      </c>
      <c r="BH63" s="29">
        <v>0</v>
      </c>
      <c r="BI63" s="29">
        <v>0</v>
      </c>
      <c r="BK63" s="29">
        <f t="shared" si="0"/>
        <v>22480.4</v>
      </c>
      <c r="BL63" s="29"/>
      <c r="BM63" s="29">
        <f t="shared" si="10"/>
        <v>0</v>
      </c>
      <c r="BN63" s="29">
        <f t="shared" si="11"/>
        <v>22480.4</v>
      </c>
      <c r="BO63" s="30"/>
    </row>
    <row r="64" spans="1:67" ht="15" customHeight="1" hidden="1">
      <c r="A64" s="247"/>
      <c r="L64" s="29"/>
      <c r="Q64" s="33"/>
      <c r="R64" s="33"/>
      <c r="W64" s="30"/>
      <c r="Y64" s="29"/>
      <c r="AB64" s="29"/>
      <c r="AH64" s="29"/>
      <c r="AM64" s="29"/>
      <c r="AP64" s="29"/>
      <c r="AR64" s="29"/>
      <c r="AY64" s="29"/>
      <c r="BG64" s="29"/>
      <c r="BK64" s="29">
        <f t="shared" si="0"/>
        <v>0</v>
      </c>
      <c r="BL64" s="29"/>
      <c r="BM64" s="29">
        <f t="shared" si="10"/>
        <v>0</v>
      </c>
      <c r="BN64" s="29">
        <f t="shared" si="11"/>
        <v>0</v>
      </c>
      <c r="BO64" s="30"/>
    </row>
    <row r="65" spans="1:67" ht="15" customHeight="1">
      <c r="A65" s="246" t="s">
        <v>403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33"/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29">
        <v>0</v>
      </c>
      <c r="U65" s="29">
        <v>0</v>
      </c>
      <c r="V65" s="29">
        <v>0</v>
      </c>
      <c r="W65" s="30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-1378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K65" s="29">
        <f t="shared" si="0"/>
        <v>-1378</v>
      </c>
      <c r="BL65" s="29"/>
      <c r="BM65" s="29">
        <f t="shared" si="10"/>
        <v>0</v>
      </c>
      <c r="BN65" s="29">
        <f t="shared" si="11"/>
        <v>-1378</v>
      </c>
      <c r="BO65" s="30"/>
    </row>
    <row r="66" spans="1:67" ht="15" customHeight="1" hidden="1">
      <c r="A66" s="247"/>
      <c r="L66" s="29"/>
      <c r="Q66" s="33"/>
      <c r="R66" s="33"/>
      <c r="W66" s="30"/>
      <c r="Y66" s="29"/>
      <c r="AB66" s="29"/>
      <c r="AH66" s="29"/>
      <c r="AM66" s="29"/>
      <c r="AP66" s="29"/>
      <c r="AR66" s="29"/>
      <c r="AY66" s="29"/>
      <c r="BG66" s="29"/>
      <c r="BK66" s="29">
        <f t="shared" si="0"/>
        <v>0</v>
      </c>
      <c r="BL66" s="29"/>
      <c r="BM66" s="29">
        <f t="shared" si="10"/>
        <v>0</v>
      </c>
      <c r="BN66" s="29">
        <f t="shared" si="11"/>
        <v>0</v>
      </c>
      <c r="BO66" s="30"/>
    </row>
    <row r="67" spans="1:67" ht="15" customHeight="1">
      <c r="A67" s="246" t="s">
        <v>404</v>
      </c>
      <c r="B67" s="29">
        <f>+B59+B61+B65</f>
        <v>5958736.096000002</v>
      </c>
      <c r="C67" s="29">
        <f>+C59+C61+C65</f>
        <v>8820781.1</v>
      </c>
      <c r="D67" s="29">
        <f aca="true" t="shared" si="18" ref="D67:L67">+D59+D61+D65</f>
        <v>48387.799999999996</v>
      </c>
      <c r="E67" s="29">
        <f t="shared" si="18"/>
        <v>9498.5</v>
      </c>
      <c r="F67" s="29">
        <f t="shared" si="18"/>
        <v>4001522.9699999997</v>
      </c>
      <c r="G67" s="29">
        <f t="shared" si="18"/>
        <v>1365077.1330000001</v>
      </c>
      <c r="H67" s="29">
        <f t="shared" si="18"/>
        <v>2156232</v>
      </c>
      <c r="I67" s="29">
        <f t="shared" si="18"/>
        <v>-3108739.5</v>
      </c>
      <c r="J67" s="29">
        <f t="shared" si="18"/>
        <v>207837</v>
      </c>
      <c r="K67" s="29">
        <f t="shared" si="18"/>
        <v>449465</v>
      </c>
      <c r="L67" s="29">
        <f t="shared" si="18"/>
        <v>1645042.67</v>
      </c>
      <c r="M67" s="29">
        <f>+M59+M61+M65</f>
        <v>-4344</v>
      </c>
      <c r="N67" s="29">
        <f aca="true" t="shared" si="19" ref="N67:BI67">+N59+N61+N65</f>
        <v>506787</v>
      </c>
      <c r="O67" s="29">
        <f t="shared" si="19"/>
        <v>270646</v>
      </c>
      <c r="P67" s="29">
        <f t="shared" si="19"/>
        <v>773744</v>
      </c>
      <c r="Q67" s="29">
        <f t="shared" si="19"/>
        <v>131499</v>
      </c>
      <c r="R67" s="29">
        <f t="shared" si="19"/>
        <v>305601</v>
      </c>
      <c r="S67" s="29">
        <f t="shared" si="19"/>
        <v>-803288.8139999998</v>
      </c>
      <c r="T67" s="29">
        <f t="shared" si="19"/>
        <v>178301.2</v>
      </c>
      <c r="U67" s="29">
        <f t="shared" si="19"/>
        <v>-294821</v>
      </c>
      <c r="V67" s="29">
        <f t="shared" si="19"/>
        <v>15819</v>
      </c>
      <c r="W67" s="29">
        <f t="shared" si="19"/>
        <v>430234.72000000003</v>
      </c>
      <c r="X67" s="29">
        <f t="shared" si="19"/>
        <v>-124979.82800000007</v>
      </c>
      <c r="Y67" s="29">
        <f t="shared" si="19"/>
        <v>75266</v>
      </c>
      <c r="Z67" s="29">
        <f t="shared" si="19"/>
        <v>-572312</v>
      </c>
      <c r="AA67" s="29">
        <f t="shared" si="19"/>
        <v>412850.5</v>
      </c>
      <c r="AB67" s="29">
        <f t="shared" si="19"/>
        <v>965858</v>
      </c>
      <c r="AC67" s="29">
        <f t="shared" si="19"/>
        <v>346978.8</v>
      </c>
      <c r="AD67" s="29">
        <f t="shared" si="19"/>
        <v>-7250</v>
      </c>
      <c r="AE67" s="29">
        <f t="shared" si="19"/>
        <v>197321.8</v>
      </c>
      <c r="AF67" s="29">
        <f>+AF59+AF61+AF65</f>
        <v>356670.853</v>
      </c>
      <c r="AG67" s="29">
        <f t="shared" si="19"/>
        <v>162926.18599999996</v>
      </c>
      <c r="AH67" s="29">
        <f t="shared" si="19"/>
        <v>-38790.98100000004</v>
      </c>
      <c r="AI67" s="29">
        <f t="shared" si="19"/>
        <v>1556805</v>
      </c>
      <c r="AJ67" s="29">
        <f t="shared" si="19"/>
        <v>110606</v>
      </c>
      <c r="AK67" s="29">
        <f t="shared" si="19"/>
        <v>111840</v>
      </c>
      <c r="AL67" s="29">
        <f t="shared" si="19"/>
        <v>357774</v>
      </c>
      <c r="AM67" s="29">
        <f t="shared" si="19"/>
        <v>142837</v>
      </c>
      <c r="AN67" s="29">
        <f t="shared" si="19"/>
        <v>85271</v>
      </c>
      <c r="AO67" s="29">
        <f t="shared" si="19"/>
        <v>-21109</v>
      </c>
      <c r="AP67" s="29">
        <f t="shared" si="19"/>
        <v>176056.14</v>
      </c>
      <c r="AQ67" s="29">
        <f t="shared" si="19"/>
        <v>4142</v>
      </c>
      <c r="AR67" s="29">
        <f t="shared" si="19"/>
        <v>-87055</v>
      </c>
      <c r="AS67" s="29">
        <f>+AS59+AS61+AS65</f>
        <v>-79233.24799999999</v>
      </c>
      <c r="AT67" s="29">
        <f t="shared" si="19"/>
        <v>-67026</v>
      </c>
      <c r="AU67" s="29">
        <f t="shared" si="19"/>
        <v>30982</v>
      </c>
      <c r="AV67" s="29">
        <f t="shared" si="19"/>
        <v>19193.494</v>
      </c>
      <c r="AW67" s="29">
        <f t="shared" si="19"/>
        <v>-8265</v>
      </c>
      <c r="AX67" s="29">
        <f t="shared" si="19"/>
        <v>-29060.6</v>
      </c>
      <c r="AY67" s="29">
        <f t="shared" si="19"/>
        <v>-48470</v>
      </c>
      <c r="AZ67" s="29">
        <f t="shared" si="19"/>
        <v>11556</v>
      </c>
      <c r="BA67" s="29">
        <f t="shared" si="19"/>
        <v>-15417.619999999999</v>
      </c>
      <c r="BB67" s="29">
        <f t="shared" si="19"/>
        <v>-8878</v>
      </c>
      <c r="BC67" s="29">
        <f t="shared" si="19"/>
        <v>9564</v>
      </c>
      <c r="BD67" s="29">
        <f t="shared" si="19"/>
        <v>568.5999999999985</v>
      </c>
      <c r="BE67" s="29">
        <f t="shared" si="19"/>
        <v>19838</v>
      </c>
      <c r="BF67" s="29">
        <f t="shared" si="19"/>
        <v>5489</v>
      </c>
      <c r="BG67" s="29">
        <f t="shared" si="19"/>
        <v>407</v>
      </c>
      <c r="BH67" s="29">
        <f t="shared" si="19"/>
        <v>-21876.423000000006</v>
      </c>
      <c r="BI67" s="29">
        <f t="shared" si="19"/>
        <v>-283.80399999999986</v>
      </c>
      <c r="BK67" s="29">
        <f t="shared" si="0"/>
        <v>27094812.744</v>
      </c>
      <c r="BL67" s="29"/>
      <c r="BM67" s="29">
        <f t="shared" si="10"/>
        <v>11738241.623000002</v>
      </c>
      <c r="BN67" s="29">
        <f t="shared" si="11"/>
        <v>15356571.121000007</v>
      </c>
      <c r="BO67" s="30"/>
    </row>
    <row r="68" spans="1:67" ht="15" customHeight="1" hidden="1">
      <c r="A68" s="246"/>
      <c r="L68" s="29"/>
      <c r="Q68" s="33"/>
      <c r="R68" s="33"/>
      <c r="W68" s="30"/>
      <c r="Y68" s="29"/>
      <c r="AB68" s="29"/>
      <c r="AH68" s="29"/>
      <c r="AM68" s="29"/>
      <c r="AP68" s="29"/>
      <c r="AR68" s="29"/>
      <c r="AY68" s="29"/>
      <c r="BG68" s="29"/>
      <c r="BK68" s="29"/>
      <c r="BL68" s="29"/>
      <c r="BM68" s="29"/>
      <c r="BN68" s="29"/>
      <c r="BO68" s="30"/>
    </row>
    <row r="69" spans="1:67" ht="15" customHeight="1">
      <c r="A69" s="246" t="s">
        <v>405</v>
      </c>
      <c r="B69" s="29">
        <v>18429979.4</v>
      </c>
      <c r="C69" s="29">
        <v>81252926</v>
      </c>
      <c r="D69" s="29">
        <v>121720.2</v>
      </c>
      <c r="E69" s="29">
        <v>21190.498</v>
      </c>
      <c r="F69" s="29">
        <v>96886910</v>
      </c>
      <c r="G69" s="29">
        <v>52041765.545</v>
      </c>
      <c r="H69" s="29">
        <v>44837767</v>
      </c>
      <c r="I69" s="29">
        <v>48045877.5</v>
      </c>
      <c r="J69" s="29">
        <v>341919</v>
      </c>
      <c r="K69" s="29">
        <v>27487556</v>
      </c>
      <c r="L69" s="29">
        <v>22221818.048</v>
      </c>
      <c r="M69" s="29">
        <v>16192082</v>
      </c>
      <c r="N69" s="29">
        <v>3094537</v>
      </c>
      <c r="O69" s="29">
        <v>1605856</v>
      </c>
      <c r="P69" s="29">
        <v>17996525</v>
      </c>
      <c r="Q69" s="29">
        <v>15712075</v>
      </c>
      <c r="R69" s="29">
        <v>691000</v>
      </c>
      <c r="S69" s="29">
        <v>14038668.885</v>
      </c>
      <c r="T69" s="29">
        <v>12831499.4</v>
      </c>
      <c r="U69" s="29">
        <v>12893839</v>
      </c>
      <c r="V69" s="29">
        <v>242197</v>
      </c>
      <c r="W69" s="30">
        <v>1332729</v>
      </c>
      <c r="X69" s="29">
        <v>11778698.964</v>
      </c>
      <c r="Y69" s="42">
        <v>11695370</v>
      </c>
      <c r="Z69" s="29">
        <v>11960276</v>
      </c>
      <c r="AA69" s="29">
        <v>10917978.1</v>
      </c>
      <c r="AB69" s="42">
        <v>9530090</v>
      </c>
      <c r="AC69" s="29">
        <v>7898520</v>
      </c>
      <c r="AD69" s="29">
        <v>7827450</v>
      </c>
      <c r="AE69" s="29">
        <v>1242753</v>
      </c>
      <c r="AF69" s="29">
        <v>6355545.065</v>
      </c>
      <c r="AG69" s="29">
        <v>281229.127</v>
      </c>
      <c r="AH69" s="42">
        <v>5499806.578</v>
      </c>
      <c r="AI69" s="29">
        <f>2709682</f>
        <v>2709682</v>
      </c>
      <c r="AJ69" s="29">
        <f>255857</f>
        <v>255857</v>
      </c>
      <c r="AK69" s="29">
        <v>186544</v>
      </c>
      <c r="AL69" s="29">
        <v>3192141</v>
      </c>
      <c r="AM69" s="42">
        <v>2568739</v>
      </c>
      <c r="AN69" s="29">
        <v>2331560</v>
      </c>
      <c r="AO69" s="29">
        <v>230519</v>
      </c>
      <c r="AP69" s="42">
        <v>2207445.45</v>
      </c>
      <c r="AQ69" s="29">
        <v>2104651</v>
      </c>
      <c r="AR69" s="42">
        <v>2090302</v>
      </c>
      <c r="AS69" s="29">
        <v>1487252.044</v>
      </c>
      <c r="AT69" s="29">
        <v>1412447</v>
      </c>
      <c r="AU69" s="29">
        <v>52155</v>
      </c>
      <c r="AV69" s="29">
        <v>1288925.877</v>
      </c>
      <c r="AW69" s="29">
        <v>1258802</v>
      </c>
      <c r="AX69" s="29">
        <v>1131916</v>
      </c>
      <c r="AY69" s="42">
        <v>844076</v>
      </c>
      <c r="AZ69" s="29">
        <v>618860</v>
      </c>
      <c r="BA69" s="29">
        <v>595435.258</v>
      </c>
      <c r="BB69" s="29">
        <v>502421</v>
      </c>
      <c r="BC69" s="30">
        <v>460435</v>
      </c>
      <c r="BD69" s="29">
        <v>445780</v>
      </c>
      <c r="BE69" s="29">
        <v>323835</v>
      </c>
      <c r="BF69" s="29">
        <v>180927</v>
      </c>
      <c r="BG69" s="42">
        <v>103756.4</v>
      </c>
      <c r="BH69" s="29">
        <v>61714.717</v>
      </c>
      <c r="BI69" s="29">
        <v>9144.653</v>
      </c>
      <c r="BK69" s="29">
        <f t="shared" si="0"/>
        <v>601963477.709</v>
      </c>
      <c r="BL69" s="29"/>
      <c r="BM69" s="29">
        <f t="shared" si="10"/>
        <v>105551831.736</v>
      </c>
      <c r="BN69" s="29">
        <f t="shared" si="11"/>
        <v>496411645.97299993</v>
      </c>
      <c r="BO69" s="30"/>
    </row>
    <row r="70" spans="1:67" ht="15" customHeight="1" hidden="1">
      <c r="A70" s="251"/>
      <c r="L70" s="29">
        <v>22221818</v>
      </c>
      <c r="Q70" s="33"/>
      <c r="R70" s="33"/>
      <c r="W70" s="30"/>
      <c r="BK70" s="29"/>
      <c r="BL70" s="29"/>
      <c r="BM70" s="29"/>
      <c r="BN70" s="29"/>
      <c r="BO70" s="30"/>
    </row>
    <row r="71" spans="1:67" s="105" customFormat="1" ht="15" customHeight="1">
      <c r="A71" s="246"/>
      <c r="Q71" s="158"/>
      <c r="R71" s="158"/>
      <c r="W71" s="148"/>
      <c r="Y71" s="36"/>
      <c r="AB71" s="36"/>
      <c r="AF71" s="42"/>
      <c r="AH71" s="36"/>
      <c r="AM71" s="36"/>
      <c r="AP71" s="36"/>
      <c r="AR71" s="36"/>
      <c r="AY71" s="36"/>
      <c r="BG71" s="36"/>
      <c r="BK71" s="36"/>
      <c r="BL71" s="36"/>
      <c r="BM71" s="36"/>
      <c r="BN71" s="36"/>
      <c r="BO71" s="148"/>
    </row>
    <row r="72" spans="1:67" s="105" customFormat="1" ht="15" customHeight="1">
      <c r="A72" s="256" t="s">
        <v>447</v>
      </c>
      <c r="B72" s="36">
        <f>+B67+B69</f>
        <v>24388715.496</v>
      </c>
      <c r="C72" s="36">
        <f aca="true" t="shared" si="20" ref="C72:BI72">+C67+C69</f>
        <v>90073707.1</v>
      </c>
      <c r="D72" s="36">
        <f t="shared" si="20"/>
        <v>170108</v>
      </c>
      <c r="E72" s="36">
        <f t="shared" si="20"/>
        <v>30688.998</v>
      </c>
      <c r="F72" s="36">
        <f t="shared" si="20"/>
        <v>100888432.97</v>
      </c>
      <c r="G72" s="36">
        <f t="shared" si="20"/>
        <v>53406842.678</v>
      </c>
      <c r="H72" s="36">
        <f t="shared" si="20"/>
        <v>46993999</v>
      </c>
      <c r="I72" s="36">
        <f t="shared" si="20"/>
        <v>44937138</v>
      </c>
      <c r="J72" s="36">
        <f t="shared" si="20"/>
        <v>549756</v>
      </c>
      <c r="K72" s="36">
        <f t="shared" si="20"/>
        <v>27937021</v>
      </c>
      <c r="L72" s="36">
        <f t="shared" si="20"/>
        <v>23866860.718000002</v>
      </c>
      <c r="M72" s="36">
        <f t="shared" si="20"/>
        <v>16187738</v>
      </c>
      <c r="N72" s="36">
        <f t="shared" si="20"/>
        <v>3601324</v>
      </c>
      <c r="O72" s="36">
        <f t="shared" si="20"/>
        <v>1876502</v>
      </c>
      <c r="P72" s="36">
        <f t="shared" si="20"/>
        <v>18770269</v>
      </c>
      <c r="Q72" s="36">
        <f t="shared" si="20"/>
        <v>15843574</v>
      </c>
      <c r="R72" s="36">
        <f t="shared" si="20"/>
        <v>996601</v>
      </c>
      <c r="S72" s="36">
        <f t="shared" si="20"/>
        <v>13235380.071</v>
      </c>
      <c r="T72" s="36">
        <f t="shared" si="20"/>
        <v>13009800.6</v>
      </c>
      <c r="U72" s="36">
        <f t="shared" si="20"/>
        <v>12599018</v>
      </c>
      <c r="V72" s="36">
        <f t="shared" si="20"/>
        <v>258016</v>
      </c>
      <c r="W72" s="36">
        <f t="shared" si="20"/>
        <v>1762963.72</v>
      </c>
      <c r="X72" s="36">
        <f t="shared" si="20"/>
        <v>11653719.136</v>
      </c>
      <c r="Y72" s="36">
        <f t="shared" si="20"/>
        <v>11770636</v>
      </c>
      <c r="Z72" s="36">
        <f t="shared" si="20"/>
        <v>11387964</v>
      </c>
      <c r="AA72" s="36">
        <f t="shared" si="20"/>
        <v>11330828.6</v>
      </c>
      <c r="AB72" s="36">
        <f t="shared" si="20"/>
        <v>10495948</v>
      </c>
      <c r="AC72" s="36">
        <f t="shared" si="20"/>
        <v>8245498.8</v>
      </c>
      <c r="AD72" s="36">
        <f t="shared" si="20"/>
        <v>7820200</v>
      </c>
      <c r="AE72" s="36">
        <f t="shared" si="20"/>
        <v>1440074.8</v>
      </c>
      <c r="AF72" s="36">
        <f t="shared" si="20"/>
        <v>6712215.9180000005</v>
      </c>
      <c r="AG72" s="36">
        <f t="shared" si="20"/>
        <v>444155.31299999997</v>
      </c>
      <c r="AH72" s="36">
        <f t="shared" si="20"/>
        <v>5461015.597</v>
      </c>
      <c r="AI72" s="36">
        <f t="shared" si="20"/>
        <v>4266487</v>
      </c>
      <c r="AJ72" s="36">
        <f t="shared" si="20"/>
        <v>366463</v>
      </c>
      <c r="AK72" s="36">
        <f t="shared" si="20"/>
        <v>298384</v>
      </c>
      <c r="AL72" s="36">
        <f t="shared" si="20"/>
        <v>3549915</v>
      </c>
      <c r="AM72" s="36">
        <f t="shared" si="20"/>
        <v>2711576</v>
      </c>
      <c r="AN72" s="36">
        <f t="shared" si="20"/>
        <v>2416831</v>
      </c>
      <c r="AO72" s="36">
        <f t="shared" si="20"/>
        <v>209410</v>
      </c>
      <c r="AP72" s="36">
        <f t="shared" si="20"/>
        <v>2383501.5900000003</v>
      </c>
      <c r="AQ72" s="36">
        <f t="shared" si="20"/>
        <v>2108793</v>
      </c>
      <c r="AR72" s="36">
        <f t="shared" si="20"/>
        <v>2003247</v>
      </c>
      <c r="AS72" s="36">
        <f>+AS69+AS67</f>
        <v>1408018.796</v>
      </c>
      <c r="AT72" s="36">
        <f t="shared" si="20"/>
        <v>1345421</v>
      </c>
      <c r="AU72" s="36">
        <f t="shared" si="20"/>
        <v>83137</v>
      </c>
      <c r="AV72" s="36">
        <f t="shared" si="20"/>
        <v>1308119.371</v>
      </c>
      <c r="AW72" s="36">
        <f t="shared" si="20"/>
        <v>1250537</v>
      </c>
      <c r="AX72" s="36">
        <f t="shared" si="20"/>
        <v>1102855.4</v>
      </c>
      <c r="AY72" s="36">
        <f t="shared" si="20"/>
        <v>795606</v>
      </c>
      <c r="AZ72" s="36">
        <f t="shared" si="20"/>
        <v>630416</v>
      </c>
      <c r="BA72" s="36">
        <f t="shared" si="20"/>
        <v>580017.638</v>
      </c>
      <c r="BB72" s="36">
        <f t="shared" si="20"/>
        <v>493543</v>
      </c>
      <c r="BC72" s="36">
        <f t="shared" si="20"/>
        <v>469999</v>
      </c>
      <c r="BD72" s="36">
        <f t="shared" si="20"/>
        <v>446348.6</v>
      </c>
      <c r="BE72" s="36">
        <f t="shared" si="20"/>
        <v>343673</v>
      </c>
      <c r="BF72" s="36">
        <f t="shared" si="20"/>
        <v>186416</v>
      </c>
      <c r="BG72" s="36">
        <f t="shared" si="20"/>
        <v>104163.4</v>
      </c>
      <c r="BH72" s="36">
        <f t="shared" si="20"/>
        <v>39838.293999999994</v>
      </c>
      <c r="BI72" s="36">
        <f t="shared" si="20"/>
        <v>8860.849</v>
      </c>
      <c r="BJ72" s="36"/>
      <c r="BK72" s="36">
        <f t="shared" si="0"/>
        <v>629058290.453</v>
      </c>
      <c r="BL72" s="36"/>
      <c r="BM72" s="36">
        <f t="shared" si="10"/>
        <v>117290073.35900001</v>
      </c>
      <c r="BN72" s="36">
        <f t="shared" si="11"/>
        <v>511768217.09400004</v>
      </c>
      <c r="BO72" s="148"/>
    </row>
    <row r="73" s="166" customFormat="1" ht="15" customHeight="1"/>
    <row r="74" spans="2:67" ht="1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30"/>
    </row>
    <row r="75" spans="1:67" ht="15" customHeight="1">
      <c r="A75" s="226" t="s">
        <v>446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30"/>
    </row>
    <row r="76" spans="1:67" ht="15" customHeight="1">
      <c r="A76" s="263" t="s">
        <v>445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30"/>
    </row>
    <row r="77" spans="1:67" ht="15" customHeight="1">
      <c r="A77" s="246" t="s">
        <v>444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K77" s="29">
        <f>SUM(B77:BI77)</f>
        <v>0</v>
      </c>
      <c r="BL77" s="29"/>
      <c r="BM77" s="29">
        <f>+C77+D77+E77+AB77+AI77+AL77+AM77+AO77+AS77+AV77+AX77+AY77+BB77+BE77+BF77+BG77+BH77</f>
        <v>0</v>
      </c>
      <c r="BN77" s="29">
        <f>+B77+SUM(F77:AA77)+AC77+AD77+AE77+AF77+AG77+AH77+AJ77+AK77+AN77+AP77+AQ77+AR77+AT77+AU77+AW77+AZ77+BA77+BC77+BD77+BI77</f>
        <v>0</v>
      </c>
      <c r="BO77" s="29"/>
    </row>
    <row r="78" spans="1:67" ht="15" customHeight="1" hidden="1">
      <c r="A78" s="247"/>
      <c r="Q78" s="33"/>
      <c r="R78" s="133"/>
      <c r="BK78" s="29"/>
      <c r="BL78" s="29"/>
      <c r="BM78" s="29"/>
      <c r="BN78" s="29"/>
      <c r="BO78" s="29"/>
    </row>
    <row r="79" spans="1:67" ht="15" customHeight="1" hidden="1">
      <c r="A79" s="246" t="s">
        <v>326</v>
      </c>
      <c r="Q79" s="33"/>
      <c r="R79" s="133"/>
      <c r="BK79" s="29"/>
      <c r="BL79" s="29"/>
      <c r="BM79" s="29"/>
      <c r="BN79" s="29"/>
      <c r="BO79" s="29"/>
    </row>
    <row r="80" spans="1:67" ht="15" customHeight="1" hidden="1">
      <c r="A80" s="247" t="s">
        <v>327</v>
      </c>
      <c r="B80" s="30">
        <v>69808</v>
      </c>
      <c r="C80" s="30">
        <v>69808</v>
      </c>
      <c r="D80" s="30">
        <v>0</v>
      </c>
      <c r="E80" s="30">
        <v>0</v>
      </c>
      <c r="F80" s="30">
        <v>232175</v>
      </c>
      <c r="G80" s="30">
        <v>217639.163</v>
      </c>
      <c r="H80" s="30">
        <v>85048</v>
      </c>
      <c r="I80" s="30">
        <v>158167</v>
      </c>
      <c r="J80" s="30">
        <v>0</v>
      </c>
      <c r="K80" s="30">
        <v>80000</v>
      </c>
      <c r="L80" s="30">
        <v>0</v>
      </c>
      <c r="M80" s="30">
        <v>0</v>
      </c>
      <c r="N80" s="30">
        <v>0</v>
      </c>
      <c r="O80" s="30">
        <v>0</v>
      </c>
      <c r="P80" s="30">
        <v>73424</v>
      </c>
      <c r="Q80" s="30">
        <v>79467</v>
      </c>
      <c r="R80" s="30">
        <v>0</v>
      </c>
      <c r="S80" s="30">
        <v>29210.91</v>
      </c>
      <c r="T80" s="30">
        <v>0</v>
      </c>
      <c r="U80" s="30">
        <v>36363</v>
      </c>
      <c r="V80" s="30">
        <v>0</v>
      </c>
      <c r="W80" s="29">
        <v>0</v>
      </c>
      <c r="X80" s="30">
        <v>0</v>
      </c>
      <c r="Y80" s="30">
        <v>0</v>
      </c>
      <c r="Z80" s="30">
        <v>0</v>
      </c>
      <c r="AA80" s="30">
        <v>26039.4</v>
      </c>
      <c r="AB80" s="30">
        <v>15513</v>
      </c>
      <c r="AC80" s="30">
        <v>18722</v>
      </c>
      <c r="AD80" s="30">
        <v>0</v>
      </c>
      <c r="AE80" s="30">
        <v>0</v>
      </c>
      <c r="AF80" s="30">
        <v>0</v>
      </c>
      <c r="AG80" s="30">
        <v>0</v>
      </c>
      <c r="AH80" s="30">
        <v>11954.129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9601.09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K80" s="29">
        <f aca="true" t="shared" si="21" ref="BK80:BK85">SUM(B80:BI80)</f>
        <v>1212939.6919999998</v>
      </c>
      <c r="BL80" s="29"/>
      <c r="BM80" s="29">
        <f aca="true" t="shared" si="22" ref="BM80:BM85">+C80+D80+E80+AB80+AI80+AL80+AM80+AO80+AS80+AV80+AX80+AY80+BB80+BE80+BF80+BG80+BH80</f>
        <v>85321</v>
      </c>
      <c r="BN80" s="29">
        <f aca="true" t="shared" si="23" ref="BN80:BN85">+B80+SUM(F80:AA80)+AC80+AD80+AE80+AF80+AG80+AH80+AJ80+AK80+AN80+AP80+AQ80+AR80+AT80+AU80+AW80+AZ80+BA80+BC80+BD80+BI80</f>
        <v>1127618.692</v>
      </c>
      <c r="BO80" s="29"/>
    </row>
    <row r="81" spans="1:67" ht="15" customHeight="1" hidden="1">
      <c r="A81" s="248" t="s">
        <v>328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35440.084</v>
      </c>
      <c r="H81" s="30">
        <v>0</v>
      </c>
      <c r="I81" s="30">
        <v>0</v>
      </c>
      <c r="J81" s="30">
        <v>0</v>
      </c>
      <c r="K81" s="30">
        <v>204882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29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K81" s="29">
        <f t="shared" si="21"/>
        <v>240322.084</v>
      </c>
      <c r="BL81" s="29"/>
      <c r="BM81" s="29">
        <f t="shared" si="22"/>
        <v>0</v>
      </c>
      <c r="BN81" s="29">
        <f t="shared" si="23"/>
        <v>240322.084</v>
      </c>
      <c r="BO81" s="29"/>
    </row>
    <row r="82" spans="1:67" ht="15" customHeight="1" hidden="1">
      <c r="A82" s="248" t="s">
        <v>329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29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K82" s="29">
        <f t="shared" si="21"/>
        <v>0</v>
      </c>
      <c r="BL82" s="29"/>
      <c r="BM82" s="29">
        <f t="shared" si="22"/>
        <v>0</v>
      </c>
      <c r="BN82" s="29">
        <f t="shared" si="23"/>
        <v>0</v>
      </c>
      <c r="BO82" s="29"/>
    </row>
    <row r="83" spans="1:67" ht="15" customHeight="1" hidden="1">
      <c r="A83" s="248" t="s">
        <v>330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214851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29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K83" s="29">
        <f t="shared" si="21"/>
        <v>214851</v>
      </c>
      <c r="BL83" s="29"/>
      <c r="BM83" s="29">
        <f t="shared" si="22"/>
        <v>0</v>
      </c>
      <c r="BN83" s="29">
        <f t="shared" si="23"/>
        <v>214851</v>
      </c>
      <c r="BO83" s="29"/>
    </row>
    <row r="84" spans="1:67" ht="15" customHeight="1" hidden="1">
      <c r="A84" s="247" t="s">
        <v>331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29">
        <v>0</v>
      </c>
      <c r="X84" s="30">
        <v>0</v>
      </c>
      <c r="Y84" s="30">
        <v>0</v>
      </c>
      <c r="Z84" s="30">
        <v>0</v>
      </c>
      <c r="AA84" s="30">
        <v>35440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0">
        <v>0</v>
      </c>
      <c r="BI84" s="30">
        <v>0</v>
      </c>
      <c r="BK84" s="29">
        <f t="shared" si="21"/>
        <v>35440</v>
      </c>
      <c r="BL84" s="29"/>
      <c r="BM84" s="29">
        <f t="shared" si="22"/>
        <v>0</v>
      </c>
      <c r="BN84" s="29">
        <f t="shared" si="23"/>
        <v>35440</v>
      </c>
      <c r="BO84" s="29"/>
    </row>
    <row r="85" spans="1:67" ht="15" customHeight="1" hidden="1">
      <c r="A85" s="247" t="s">
        <v>332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29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K85" s="29">
        <f t="shared" si="21"/>
        <v>0</v>
      </c>
      <c r="BL85" s="29"/>
      <c r="BM85" s="29">
        <f t="shared" si="22"/>
        <v>0</v>
      </c>
      <c r="BN85" s="29">
        <f t="shared" si="23"/>
        <v>0</v>
      </c>
      <c r="BO85" s="29"/>
    </row>
    <row r="86" spans="1:67" ht="15" customHeight="1" hidden="1">
      <c r="A86" s="247"/>
      <c r="Q86" s="33"/>
      <c r="R86" s="33"/>
      <c r="BK86" s="29"/>
      <c r="BL86" s="29"/>
      <c r="BM86" s="29"/>
      <c r="BN86" s="29"/>
      <c r="BO86" s="29"/>
    </row>
    <row r="87" spans="1:67" ht="15" customHeight="1" hidden="1">
      <c r="A87" s="249" t="s">
        <v>333</v>
      </c>
      <c r="Q87" s="33"/>
      <c r="R87" s="33"/>
      <c r="BK87" s="29"/>
      <c r="BL87" s="29"/>
      <c r="BM87" s="29"/>
      <c r="BN87" s="29"/>
      <c r="BO87" s="29"/>
    </row>
    <row r="88" spans="1:67" ht="15" customHeight="1" hidden="1">
      <c r="A88" s="247" t="s">
        <v>334</v>
      </c>
      <c r="B88" s="30">
        <v>7088366</v>
      </c>
      <c r="C88" s="30">
        <v>21236659</v>
      </c>
      <c r="D88" s="30">
        <v>0</v>
      </c>
      <c r="E88" s="30">
        <v>0</v>
      </c>
      <c r="F88" s="30">
        <v>29442799</v>
      </c>
      <c r="G88" s="30">
        <v>15318467.218</v>
      </c>
      <c r="H88" s="30">
        <v>11988240</v>
      </c>
      <c r="I88" s="30">
        <v>11930755</v>
      </c>
      <c r="J88" s="30">
        <v>0</v>
      </c>
      <c r="K88" s="30">
        <v>7173786</v>
      </c>
      <c r="L88" s="42">
        <v>4769535</v>
      </c>
      <c r="M88" s="30">
        <v>9263134</v>
      </c>
      <c r="N88" s="30">
        <v>1845455</v>
      </c>
      <c r="O88" s="30">
        <v>1421418</v>
      </c>
      <c r="P88" s="30">
        <v>4009912</v>
      </c>
      <c r="Q88" s="30">
        <v>4777404</v>
      </c>
      <c r="R88" s="30">
        <v>0</v>
      </c>
      <c r="S88" s="30">
        <v>6317594.155</v>
      </c>
      <c r="T88" s="30">
        <v>8466097.707</v>
      </c>
      <c r="U88" s="30">
        <v>4251087</v>
      </c>
      <c r="V88" s="30">
        <v>51491</v>
      </c>
      <c r="W88" s="30">
        <v>1535548.415</v>
      </c>
      <c r="X88" s="30">
        <v>2810820.08</v>
      </c>
      <c r="Y88" s="30">
        <v>7103218</v>
      </c>
      <c r="Z88" s="30">
        <v>6361572</v>
      </c>
      <c r="AA88" s="30">
        <v>3755569.7</v>
      </c>
      <c r="AB88" s="30">
        <v>3109079</v>
      </c>
      <c r="AC88" s="30">
        <v>1772421</v>
      </c>
      <c r="AD88" s="30">
        <v>4729864</v>
      </c>
      <c r="AE88" s="30">
        <v>1103092.4</v>
      </c>
      <c r="AF88" s="30">
        <v>1009108.99</v>
      </c>
      <c r="AG88" s="30">
        <v>487782.118</v>
      </c>
      <c r="AH88" s="30">
        <v>2912363.294</v>
      </c>
      <c r="AI88" s="30">
        <f>2022938</f>
        <v>2022938</v>
      </c>
      <c r="AJ88" s="30">
        <f>174024</f>
        <v>174024</v>
      </c>
      <c r="AK88" s="30">
        <v>276295</v>
      </c>
      <c r="AL88" s="30">
        <v>277583</v>
      </c>
      <c r="AM88" s="30">
        <v>2403712</v>
      </c>
      <c r="AN88" s="30">
        <v>482162</v>
      </c>
      <c r="AO88" s="30">
        <v>9278</v>
      </c>
      <c r="AP88" s="30">
        <v>245282.8</v>
      </c>
      <c r="AQ88" s="30">
        <v>1357914</v>
      </c>
      <c r="AR88" s="30">
        <v>854697</v>
      </c>
      <c r="AS88" s="30">
        <v>713128.383</v>
      </c>
      <c r="AT88" s="30">
        <v>59014</v>
      </c>
      <c r="AU88" s="30">
        <v>80924</v>
      </c>
      <c r="AV88" s="30">
        <v>185943.615</v>
      </c>
      <c r="AW88" s="30">
        <v>955935</v>
      </c>
      <c r="AX88" s="30">
        <v>190835</v>
      </c>
      <c r="AY88" s="30">
        <v>455279</v>
      </c>
      <c r="AZ88" s="30">
        <v>359094</v>
      </c>
      <c r="BA88" s="29">
        <v>15599.524</v>
      </c>
      <c r="BB88" s="30">
        <v>134595</v>
      </c>
      <c r="BC88" s="30">
        <v>397795</v>
      </c>
      <c r="BD88" s="30">
        <v>1312.4</v>
      </c>
      <c r="BE88" s="30">
        <v>60788</v>
      </c>
      <c r="BF88" s="30">
        <v>52503</v>
      </c>
      <c r="BG88" s="30">
        <v>0</v>
      </c>
      <c r="BH88" s="30">
        <v>10000</v>
      </c>
      <c r="BI88" s="30">
        <v>0</v>
      </c>
      <c r="BK88" s="29">
        <f aca="true" t="shared" si="24" ref="BK88:BK96">SUM(B88:BI88)</f>
        <v>197819270.799</v>
      </c>
      <c r="BL88" s="29"/>
      <c r="BM88" s="29">
        <f aca="true" t="shared" si="25" ref="BM88:BM96">+C88+D88+E88+AB88+AI88+AL88+AM88+AO88+AS88+AV88+AX88+AY88+BB88+BE88+BF88+BG88+BH88</f>
        <v>30862320.998</v>
      </c>
      <c r="BN88" s="29">
        <f aca="true" t="shared" si="26" ref="BN88:BN94">+B88+SUM(F88:AA88)+AC88+AD88+AE88+AF88+AG88+AH88+AJ88+AK88+AN88+AP88+AQ88+AR88+AT88+AU88+AW88+AZ88+BA88+BC88+BD88+BI88</f>
        <v>166956949.801</v>
      </c>
      <c r="BO88" s="29"/>
    </row>
    <row r="89" spans="1:67" ht="15" customHeight="1" hidden="1">
      <c r="A89" s="247" t="s">
        <v>335</v>
      </c>
      <c r="B89" s="30">
        <v>9749992</v>
      </c>
      <c r="C89" s="30">
        <v>50500384</v>
      </c>
      <c r="D89" s="30">
        <v>0</v>
      </c>
      <c r="E89" s="30">
        <v>0</v>
      </c>
      <c r="F89" s="30">
        <v>49687620</v>
      </c>
      <c r="G89" s="30">
        <v>27483799.03</v>
      </c>
      <c r="H89" s="30">
        <v>30048414</v>
      </c>
      <c r="I89" s="30">
        <v>25495894</v>
      </c>
      <c r="J89" s="30">
        <v>0</v>
      </c>
      <c r="K89" s="30">
        <v>16341842</v>
      </c>
      <c r="L89" s="42">
        <v>17324501.033</v>
      </c>
      <c r="M89" s="30">
        <v>5038825</v>
      </c>
      <c r="N89" s="30">
        <v>976220</v>
      </c>
      <c r="O89" s="30">
        <v>402267</v>
      </c>
      <c r="P89" s="30">
        <v>8411344</v>
      </c>
      <c r="Q89" s="30">
        <v>7951419</v>
      </c>
      <c r="R89" s="30">
        <v>0</v>
      </c>
      <c r="S89" s="30">
        <v>4347045.927</v>
      </c>
      <c r="T89" s="30">
        <v>2097670</v>
      </c>
      <c r="U89" s="30">
        <v>7324384</v>
      </c>
      <c r="V89" s="30">
        <v>110889</v>
      </c>
      <c r="W89" s="30">
        <v>139778.167</v>
      </c>
      <c r="X89" s="30">
        <v>4916151.289</v>
      </c>
      <c r="Y89" s="30">
        <v>2543893</v>
      </c>
      <c r="Z89" s="30">
        <v>3389586</v>
      </c>
      <c r="AA89" s="30">
        <v>6164490.4</v>
      </c>
      <c r="AB89" s="30">
        <v>5681089</v>
      </c>
      <c r="AC89" s="30">
        <v>5960425</v>
      </c>
      <c r="AD89" s="30">
        <v>1689582</v>
      </c>
      <c r="AE89" s="30">
        <v>137224</v>
      </c>
      <c r="AF89" s="30">
        <v>5099093.62</v>
      </c>
      <c r="AG89" s="30">
        <v>0</v>
      </c>
      <c r="AH89" s="30">
        <v>1718247.614</v>
      </c>
      <c r="AI89" s="30">
        <f>1061611</f>
        <v>1061611</v>
      </c>
      <c r="AJ89" s="30">
        <f>91325</f>
        <v>91325</v>
      </c>
      <c r="AK89" s="30">
        <v>0</v>
      </c>
      <c r="AL89" s="30">
        <v>574211</v>
      </c>
      <c r="AM89" s="30">
        <f>155930-1</f>
        <v>155929</v>
      </c>
      <c r="AN89" s="30">
        <v>1837393</v>
      </c>
      <c r="AO89" s="30">
        <v>194280</v>
      </c>
      <c r="AP89" s="30">
        <v>1313519.1</v>
      </c>
      <c r="AQ89" s="30">
        <v>667052</v>
      </c>
      <c r="AR89" s="30">
        <v>605112</v>
      </c>
      <c r="AS89" s="30">
        <v>218024.632</v>
      </c>
      <c r="AT89" s="30">
        <v>773979</v>
      </c>
      <c r="AU89" s="30">
        <v>0</v>
      </c>
      <c r="AV89" s="30">
        <v>1060976.705</v>
      </c>
      <c r="AW89" s="30">
        <v>239785</v>
      </c>
      <c r="AX89" s="30">
        <v>718130</v>
      </c>
      <c r="AY89" s="30">
        <v>328846</v>
      </c>
      <c r="AZ89" s="30">
        <v>270050</v>
      </c>
      <c r="BA89" s="29">
        <f>(296014328-10808469)/1000</f>
        <v>285205.859</v>
      </c>
      <c r="BB89" s="30">
        <v>200580</v>
      </c>
      <c r="BC89" s="30">
        <v>73009</v>
      </c>
      <c r="BD89" s="30">
        <v>391658.4</v>
      </c>
      <c r="BE89" s="30">
        <v>216789</v>
      </c>
      <c r="BF89" s="30">
        <v>96694</v>
      </c>
      <c r="BG89" s="30">
        <v>18557.4</v>
      </c>
      <c r="BH89" s="30">
        <v>4029.042</v>
      </c>
      <c r="BI89" s="30">
        <v>7385</v>
      </c>
      <c r="BK89" s="29">
        <f t="shared" si="24"/>
        <v>312136201.218</v>
      </c>
      <c r="BL89" s="29"/>
      <c r="BM89" s="29">
        <f t="shared" si="25"/>
        <v>61030130.779</v>
      </c>
      <c r="BN89" s="29">
        <f t="shared" si="26"/>
        <v>251106070.43899998</v>
      </c>
      <c r="BO89" s="29"/>
    </row>
    <row r="90" spans="1:67" ht="15" customHeight="1" hidden="1">
      <c r="A90" s="247" t="s">
        <v>336</v>
      </c>
      <c r="B90" s="30">
        <v>6766651</v>
      </c>
      <c r="C90" s="30">
        <v>17417439</v>
      </c>
      <c r="D90" s="30">
        <v>56599</v>
      </c>
      <c r="E90" s="30">
        <v>0</v>
      </c>
      <c r="F90" s="30">
        <v>20465482</v>
      </c>
      <c r="G90" s="30">
        <v>8906397.051</v>
      </c>
      <c r="H90" s="30">
        <v>3904413</v>
      </c>
      <c r="I90" s="30">
        <v>10671246</v>
      </c>
      <c r="J90" s="30">
        <v>0</v>
      </c>
      <c r="K90" s="30">
        <f>1517608-60661</f>
        <v>1456947</v>
      </c>
      <c r="L90" s="42">
        <v>1063412.5</v>
      </c>
      <c r="M90" s="30">
        <v>1433282</v>
      </c>
      <c r="N90" s="30">
        <v>693690</v>
      </c>
      <c r="O90" s="42">
        <v>0</v>
      </c>
      <c r="P90" s="30">
        <v>5894391</v>
      </c>
      <c r="Q90" s="30">
        <v>4141708</v>
      </c>
      <c r="R90" s="30">
        <v>0</v>
      </c>
      <c r="S90" s="30">
        <v>1384150.192</v>
      </c>
      <c r="T90" s="30">
        <v>2347097</v>
      </c>
      <c r="U90" s="30">
        <v>579191</v>
      </c>
      <c r="V90" s="30">
        <v>13609</v>
      </c>
      <c r="W90" s="30">
        <v>67804.677</v>
      </c>
      <c r="X90" s="30">
        <v>3563742.049</v>
      </c>
      <c r="Y90" s="30">
        <v>1160504</v>
      </c>
      <c r="Z90" s="30">
        <v>698972</v>
      </c>
      <c r="AA90" s="30">
        <v>1216</v>
      </c>
      <c r="AB90" s="30">
        <v>1535174</v>
      </c>
      <c r="AC90" s="30">
        <v>18661</v>
      </c>
      <c r="AD90" s="30">
        <v>1305241</v>
      </c>
      <c r="AE90" s="30">
        <v>183689.4</v>
      </c>
      <c r="AF90" s="30">
        <v>483092.856</v>
      </c>
      <c r="AG90" s="30">
        <v>0</v>
      </c>
      <c r="AH90" s="30">
        <v>304479.629</v>
      </c>
      <c r="AI90" s="30">
        <f>814331</f>
        <v>814331</v>
      </c>
      <c r="AJ90" s="30">
        <f>70053</f>
        <v>70053</v>
      </c>
      <c r="AK90" s="30">
        <v>0</v>
      </c>
      <c r="AL90" s="30">
        <v>2149380</v>
      </c>
      <c r="AM90" s="30">
        <v>0</v>
      </c>
      <c r="AN90" s="30">
        <v>101526</v>
      </c>
      <c r="AO90" s="30">
        <v>9872</v>
      </c>
      <c r="AP90" s="30">
        <v>2479.8</v>
      </c>
      <c r="AQ90" s="30">
        <v>61334</v>
      </c>
      <c r="AR90" s="30">
        <v>60446</v>
      </c>
      <c r="AS90" s="30">
        <v>443063.798</v>
      </c>
      <c r="AT90" s="30">
        <v>102090</v>
      </c>
      <c r="AU90" s="30">
        <v>0</v>
      </c>
      <c r="AV90" s="30">
        <v>0</v>
      </c>
      <c r="AW90" s="30">
        <v>44291</v>
      </c>
      <c r="AX90" s="30">
        <v>138167</v>
      </c>
      <c r="AY90" s="30">
        <v>0</v>
      </c>
      <c r="AZ90" s="30">
        <v>881</v>
      </c>
      <c r="BA90" s="29">
        <v>52898.771</v>
      </c>
      <c r="BB90" s="30">
        <v>102868</v>
      </c>
      <c r="BC90" s="30">
        <v>6607</v>
      </c>
      <c r="BD90" s="30">
        <v>34805.4</v>
      </c>
      <c r="BE90" s="30">
        <v>10669</v>
      </c>
      <c r="BF90" s="30">
        <v>7390</v>
      </c>
      <c r="BG90" s="30">
        <v>47494</v>
      </c>
      <c r="BH90" s="30">
        <v>5471.479</v>
      </c>
      <c r="BI90" s="30">
        <v>0</v>
      </c>
      <c r="BK90" s="29">
        <f t="shared" si="24"/>
        <v>100784399.602</v>
      </c>
      <c r="BL90" s="29"/>
      <c r="BM90" s="29">
        <f t="shared" si="25"/>
        <v>22737918.277</v>
      </c>
      <c r="BN90" s="29">
        <f t="shared" si="26"/>
        <v>78046481.32500002</v>
      </c>
      <c r="BO90" s="29"/>
    </row>
    <row r="91" spans="1:67" ht="15" customHeight="1" hidden="1">
      <c r="A91" s="247" t="s">
        <v>337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115414.298</v>
      </c>
      <c r="H91" s="30">
        <v>0</v>
      </c>
      <c r="I91" s="30">
        <v>0</v>
      </c>
      <c r="J91" s="30">
        <v>0</v>
      </c>
      <c r="K91" s="30">
        <v>6704</v>
      </c>
      <c r="L91" s="42">
        <v>0</v>
      </c>
      <c r="M91" s="42">
        <v>0</v>
      </c>
      <c r="N91" s="42">
        <v>0</v>
      </c>
      <c r="O91" s="42">
        <v>0</v>
      </c>
      <c r="P91" s="30">
        <v>128237</v>
      </c>
      <c r="Q91" s="30">
        <v>9137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26853</v>
      </c>
      <c r="Z91" s="30">
        <v>826848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8804.859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18968</v>
      </c>
      <c r="AR91" s="30">
        <v>0</v>
      </c>
      <c r="AS91" s="30">
        <v>0</v>
      </c>
      <c r="AT91" s="30">
        <v>400000</v>
      </c>
      <c r="AU91" s="30">
        <v>0</v>
      </c>
      <c r="AV91" s="30">
        <v>0</v>
      </c>
      <c r="AW91" s="30">
        <v>0</v>
      </c>
      <c r="AX91" s="30">
        <v>0</v>
      </c>
      <c r="AY91" s="30">
        <v>0</v>
      </c>
      <c r="AZ91" s="30">
        <v>0</v>
      </c>
      <c r="BA91" s="29">
        <v>0</v>
      </c>
      <c r="BB91" s="29">
        <v>0</v>
      </c>
      <c r="BC91" s="30">
        <v>0</v>
      </c>
      <c r="BD91" s="30">
        <v>0</v>
      </c>
      <c r="BE91" s="30">
        <v>0</v>
      </c>
      <c r="BF91" s="30">
        <v>0</v>
      </c>
      <c r="BG91" s="30">
        <v>0</v>
      </c>
      <c r="BH91" s="30">
        <v>0</v>
      </c>
      <c r="BI91" s="30">
        <v>0</v>
      </c>
      <c r="BK91" s="29">
        <f t="shared" si="24"/>
        <v>1540966.157</v>
      </c>
      <c r="BL91" s="29"/>
      <c r="BM91" s="29">
        <f t="shared" si="25"/>
        <v>0</v>
      </c>
      <c r="BN91" s="29">
        <f t="shared" si="26"/>
        <v>1540966.157</v>
      </c>
      <c r="BO91" s="29"/>
    </row>
    <row r="92" spans="1:67" ht="15" customHeight="1" hidden="1">
      <c r="A92" s="247" t="s">
        <v>338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f>1004157</f>
        <v>1004157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30">
        <v>239108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1101.894</v>
      </c>
      <c r="X92" s="30">
        <v>250434.22400000002</v>
      </c>
      <c r="Y92" s="30">
        <v>573850</v>
      </c>
      <c r="Z92" s="30">
        <v>0</v>
      </c>
      <c r="AA92" s="30">
        <v>1072170.2</v>
      </c>
      <c r="AB92" s="30">
        <v>0</v>
      </c>
      <c r="AC92" s="30">
        <v>34302</v>
      </c>
      <c r="AD92" s="30">
        <v>0</v>
      </c>
      <c r="AE92" s="30">
        <v>0</v>
      </c>
      <c r="AF92" s="30">
        <v>0</v>
      </c>
      <c r="AG92" s="30">
        <v>0</v>
      </c>
      <c r="AH92" s="30">
        <v>216856.243</v>
      </c>
      <c r="AI92" s="30">
        <f>213953</f>
        <v>213953</v>
      </c>
      <c r="AJ92" s="30">
        <f>18405</f>
        <v>18405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446665</v>
      </c>
      <c r="AS92" s="30">
        <v>0</v>
      </c>
      <c r="AT92" s="30">
        <v>0</v>
      </c>
      <c r="AU92" s="30">
        <v>0</v>
      </c>
      <c r="AV92" s="30">
        <v>19929.89</v>
      </c>
      <c r="AW92" s="30">
        <v>0</v>
      </c>
      <c r="AX92" s="30">
        <v>0</v>
      </c>
      <c r="AY92" s="30">
        <v>0</v>
      </c>
      <c r="AZ92" s="30">
        <v>0</v>
      </c>
      <c r="BA92" s="29">
        <v>0</v>
      </c>
      <c r="BB92" s="29">
        <v>0</v>
      </c>
      <c r="BC92" s="30">
        <v>0</v>
      </c>
      <c r="BD92" s="30">
        <v>0</v>
      </c>
      <c r="BE92" s="30">
        <v>45299</v>
      </c>
      <c r="BF92" s="30">
        <v>29636</v>
      </c>
      <c r="BG92" s="30">
        <v>0</v>
      </c>
      <c r="BH92" s="30">
        <v>0</v>
      </c>
      <c r="BI92" s="30">
        <v>0</v>
      </c>
      <c r="BK92" s="29">
        <f t="shared" si="24"/>
        <v>4165867.451</v>
      </c>
      <c r="BL92" s="29"/>
      <c r="BM92" s="29">
        <f t="shared" si="25"/>
        <v>308817.89</v>
      </c>
      <c r="BN92" s="29">
        <f>+B92+SUM(F92:AA92)+AC92+AD92+AE92+AF92+AG92+AH92+AJ92+AK92+AN92+AP92+AQ92+AR92+AT92+AU92+AW92+AZ92+BA106+BC92+BD92+BI92</f>
        <v>4085293.3129999996</v>
      </c>
      <c r="BO92" s="29"/>
    </row>
    <row r="93" spans="1:67" ht="15" customHeight="1" hidden="1">
      <c r="A93" s="247" t="s">
        <v>339</v>
      </c>
      <c r="B93" s="30">
        <v>0</v>
      </c>
      <c r="C93" s="30">
        <v>10821</v>
      </c>
      <c r="D93" s="30">
        <v>0</v>
      </c>
      <c r="E93" s="30">
        <v>0</v>
      </c>
      <c r="F93" s="30">
        <v>0</v>
      </c>
      <c r="G93" s="30">
        <v>186761.62</v>
      </c>
      <c r="H93" s="30">
        <v>2822</v>
      </c>
      <c r="I93" s="30">
        <v>0</v>
      </c>
      <c r="J93" s="30">
        <v>0</v>
      </c>
      <c r="K93" s="30">
        <v>184973</v>
      </c>
      <c r="L93" s="42">
        <v>0</v>
      </c>
      <c r="M93" s="42">
        <v>0</v>
      </c>
      <c r="N93" s="42">
        <v>0</v>
      </c>
      <c r="O93" s="42">
        <v>0</v>
      </c>
      <c r="P93" s="30">
        <v>2536</v>
      </c>
      <c r="Q93" s="30">
        <f>13358-1808327</f>
        <v>-1794969</v>
      </c>
      <c r="R93" s="30">
        <v>996601</v>
      </c>
      <c r="S93" s="30">
        <v>913867.996</v>
      </c>
      <c r="T93" s="30">
        <v>1335.891</v>
      </c>
      <c r="U93" s="30">
        <f>17128+7955</f>
        <v>25083</v>
      </c>
      <c r="V93" s="30">
        <v>-7955</v>
      </c>
      <c r="W93" s="30">
        <v>0</v>
      </c>
      <c r="X93" s="30">
        <v>0</v>
      </c>
      <c r="Y93" s="30">
        <v>8573</v>
      </c>
      <c r="Z93" s="30">
        <v>0</v>
      </c>
      <c r="AA93" s="30">
        <v>182377.3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-7818.5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v>47058</v>
      </c>
      <c r="AY93" s="30">
        <v>0</v>
      </c>
      <c r="AZ93" s="30">
        <v>0</v>
      </c>
      <c r="BA93" s="29">
        <v>0</v>
      </c>
      <c r="BB93" s="29">
        <v>0</v>
      </c>
      <c r="BC93" s="30">
        <v>0</v>
      </c>
      <c r="BD93" s="30">
        <v>0</v>
      </c>
      <c r="BE93" s="30">
        <v>0</v>
      </c>
      <c r="BF93" s="30">
        <v>0</v>
      </c>
      <c r="BG93" s="30">
        <v>0</v>
      </c>
      <c r="BH93" s="30">
        <v>0</v>
      </c>
      <c r="BI93" s="30">
        <v>0</v>
      </c>
      <c r="BK93" s="29">
        <f t="shared" si="24"/>
        <v>752067.3070000003</v>
      </c>
      <c r="BL93" s="29"/>
      <c r="BM93" s="29">
        <f t="shared" si="25"/>
        <v>57879</v>
      </c>
      <c r="BN93" s="29">
        <f t="shared" si="26"/>
        <v>694188.3070000001</v>
      </c>
      <c r="BO93" s="29"/>
    </row>
    <row r="94" spans="1:67" ht="15" customHeight="1" hidden="1">
      <c r="A94" s="264" t="s">
        <v>340</v>
      </c>
      <c r="B94" s="29">
        <f aca="true" t="shared" si="27" ref="B94:AG94">SUM(B88:B93)</f>
        <v>23605009</v>
      </c>
      <c r="C94" s="29">
        <f t="shared" si="27"/>
        <v>89165303</v>
      </c>
      <c r="D94" s="29">
        <f t="shared" si="27"/>
        <v>56599</v>
      </c>
      <c r="E94" s="29">
        <f t="shared" si="27"/>
        <v>0</v>
      </c>
      <c r="F94" s="29">
        <f t="shared" si="27"/>
        <v>99595901</v>
      </c>
      <c r="G94" s="29">
        <f t="shared" si="27"/>
        <v>52010839.217</v>
      </c>
      <c r="H94" s="29">
        <f t="shared" si="27"/>
        <v>45943889</v>
      </c>
      <c r="I94" s="29">
        <f t="shared" si="27"/>
        <v>48097895</v>
      </c>
      <c r="J94" s="29">
        <f t="shared" si="27"/>
        <v>0</v>
      </c>
      <c r="K94" s="29">
        <f t="shared" si="27"/>
        <v>26168409</v>
      </c>
      <c r="L94" s="29">
        <f t="shared" si="27"/>
        <v>23157448.533</v>
      </c>
      <c r="M94" s="29">
        <f t="shared" si="27"/>
        <v>15735241</v>
      </c>
      <c r="N94" s="29">
        <f t="shared" si="27"/>
        <v>3515365</v>
      </c>
      <c r="O94" s="29">
        <f t="shared" si="27"/>
        <v>1823685</v>
      </c>
      <c r="P94" s="29">
        <f t="shared" si="27"/>
        <v>18446420</v>
      </c>
      <c r="Q94" s="29">
        <f t="shared" si="27"/>
        <v>15323807</v>
      </c>
      <c r="R94" s="29">
        <f t="shared" si="27"/>
        <v>996601</v>
      </c>
      <c r="S94" s="29">
        <f t="shared" si="27"/>
        <v>12962658.27</v>
      </c>
      <c r="T94" s="29">
        <f t="shared" si="27"/>
        <v>12912200.598000001</v>
      </c>
      <c r="U94" s="29">
        <f t="shared" si="27"/>
        <v>12179745</v>
      </c>
      <c r="V94" s="29">
        <f t="shared" si="27"/>
        <v>168034</v>
      </c>
      <c r="W94" s="29">
        <f t="shared" si="27"/>
        <v>1744233.153</v>
      </c>
      <c r="X94" s="29">
        <f t="shared" si="27"/>
        <v>11541147.641999999</v>
      </c>
      <c r="Y94" s="29">
        <f t="shared" si="27"/>
        <v>11416891</v>
      </c>
      <c r="Z94" s="29">
        <f t="shared" si="27"/>
        <v>11276978</v>
      </c>
      <c r="AA94" s="29">
        <f t="shared" si="27"/>
        <v>11175823.600000001</v>
      </c>
      <c r="AB94" s="29">
        <f t="shared" si="27"/>
        <v>10325342</v>
      </c>
      <c r="AC94" s="29">
        <f t="shared" si="27"/>
        <v>7785809</v>
      </c>
      <c r="AD94" s="29">
        <f t="shared" si="27"/>
        <v>7724687</v>
      </c>
      <c r="AE94" s="29">
        <f t="shared" si="27"/>
        <v>1424005.7999999998</v>
      </c>
      <c r="AF94" s="29">
        <f t="shared" si="27"/>
        <v>6591295.466</v>
      </c>
      <c r="AG94" s="29">
        <f t="shared" si="27"/>
        <v>487782.118</v>
      </c>
      <c r="AH94" s="29">
        <f aca="true" t="shared" si="28" ref="AH94:BI94">SUM(AH88:AH93)</f>
        <v>5160751.6389999995</v>
      </c>
      <c r="AI94" s="29">
        <f t="shared" si="28"/>
        <v>4112833</v>
      </c>
      <c r="AJ94" s="29">
        <f t="shared" si="28"/>
        <v>353807</v>
      </c>
      <c r="AK94" s="29">
        <f t="shared" si="28"/>
        <v>276295</v>
      </c>
      <c r="AL94" s="29">
        <f t="shared" si="28"/>
        <v>3001174</v>
      </c>
      <c r="AM94" s="29">
        <f t="shared" si="28"/>
        <v>2559641</v>
      </c>
      <c r="AN94" s="29">
        <f t="shared" si="28"/>
        <v>2421081</v>
      </c>
      <c r="AO94" s="29">
        <f t="shared" si="28"/>
        <v>213430</v>
      </c>
      <c r="AP94" s="29">
        <f t="shared" si="28"/>
        <v>1553463.2000000002</v>
      </c>
      <c r="AQ94" s="29">
        <f t="shared" si="28"/>
        <v>2105268</v>
      </c>
      <c r="AR94" s="29">
        <f t="shared" si="28"/>
        <v>1966920</v>
      </c>
      <c r="AS94" s="29">
        <f t="shared" si="28"/>
        <v>1374216.813</v>
      </c>
      <c r="AT94" s="29">
        <f t="shared" si="28"/>
        <v>1335083</v>
      </c>
      <c r="AU94" s="29">
        <f t="shared" si="28"/>
        <v>80924</v>
      </c>
      <c r="AV94" s="29">
        <f t="shared" si="28"/>
        <v>1266850.21</v>
      </c>
      <c r="AW94" s="29">
        <f t="shared" si="28"/>
        <v>1240011</v>
      </c>
      <c r="AX94" s="29">
        <f t="shared" si="28"/>
        <v>1094190</v>
      </c>
      <c r="AY94" s="29">
        <f t="shared" si="28"/>
        <v>784125</v>
      </c>
      <c r="AZ94" s="29">
        <f t="shared" si="28"/>
        <v>630025</v>
      </c>
      <c r="BA94" s="29">
        <f t="shared" si="28"/>
        <v>353704.154</v>
      </c>
      <c r="BB94" s="29">
        <f t="shared" si="28"/>
        <v>438043</v>
      </c>
      <c r="BC94" s="29">
        <f t="shared" si="28"/>
        <v>477411</v>
      </c>
      <c r="BD94" s="29">
        <f t="shared" si="28"/>
        <v>427776.20000000007</v>
      </c>
      <c r="BE94" s="29">
        <f t="shared" si="28"/>
        <v>333545</v>
      </c>
      <c r="BF94" s="29">
        <f t="shared" si="28"/>
        <v>186223</v>
      </c>
      <c r="BG94" s="29">
        <f t="shared" si="28"/>
        <v>66051.4</v>
      </c>
      <c r="BH94" s="29">
        <f t="shared" si="28"/>
        <v>19500.521</v>
      </c>
      <c r="BI94" s="29">
        <f t="shared" si="28"/>
        <v>7385</v>
      </c>
      <c r="BK94" s="29">
        <f t="shared" si="24"/>
        <v>617198772.5340002</v>
      </c>
      <c r="BL94" s="29"/>
      <c r="BM94" s="29">
        <f t="shared" si="25"/>
        <v>114997066.94399999</v>
      </c>
      <c r="BN94" s="29">
        <f t="shared" si="26"/>
        <v>502201705.59</v>
      </c>
      <c r="BO94" s="29"/>
    </row>
    <row r="95" spans="2:67" ht="15" customHeight="1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K95" s="29"/>
      <c r="BL95" s="29"/>
      <c r="BM95" s="29"/>
      <c r="BN95" s="29"/>
      <c r="BO95" s="29"/>
    </row>
    <row r="96" spans="1:67" ht="15" customHeight="1">
      <c r="A96" s="260" t="s">
        <v>341</v>
      </c>
      <c r="B96" s="29">
        <f>+SUM(B77:B85)+B94</f>
        <v>23674817</v>
      </c>
      <c r="C96" s="29">
        <f>+SUM(C77:C85)+C94</f>
        <v>89235111</v>
      </c>
      <c r="D96" s="29">
        <f>+SUM(D77:D85)+D94</f>
        <v>56599</v>
      </c>
      <c r="E96" s="29">
        <f>+SUM(E77:E85)+E94</f>
        <v>0</v>
      </c>
      <c r="F96" s="29">
        <f>+SUM(F80:F85)+F94</f>
        <v>99828076</v>
      </c>
      <c r="G96" s="29">
        <f aca="true" t="shared" si="29" ref="G96:AU96">+SUM(G77:G85)+G94</f>
        <v>52263918.464</v>
      </c>
      <c r="H96" s="29">
        <f t="shared" si="29"/>
        <v>46028937</v>
      </c>
      <c r="I96" s="29">
        <f t="shared" si="29"/>
        <v>48256062</v>
      </c>
      <c r="J96" s="29">
        <f t="shared" si="29"/>
        <v>0</v>
      </c>
      <c r="K96" s="29">
        <f t="shared" si="29"/>
        <v>26668142</v>
      </c>
      <c r="L96" s="29">
        <f t="shared" si="29"/>
        <v>23157448.533</v>
      </c>
      <c r="M96" s="29">
        <f t="shared" si="29"/>
        <v>15735241</v>
      </c>
      <c r="N96" s="29">
        <f t="shared" si="29"/>
        <v>3515365</v>
      </c>
      <c r="O96" s="29">
        <f t="shared" si="29"/>
        <v>1823685</v>
      </c>
      <c r="P96" s="29">
        <f t="shared" si="29"/>
        <v>18519844</v>
      </c>
      <c r="Q96" s="29">
        <f t="shared" si="29"/>
        <v>15403274</v>
      </c>
      <c r="R96" s="29">
        <f t="shared" si="29"/>
        <v>996601</v>
      </c>
      <c r="S96" s="29">
        <f t="shared" si="29"/>
        <v>12991869.18</v>
      </c>
      <c r="T96" s="29">
        <f t="shared" si="29"/>
        <v>12912200.598000001</v>
      </c>
      <c r="U96" s="29">
        <f t="shared" si="29"/>
        <v>12216108</v>
      </c>
      <c r="V96" s="29">
        <f t="shared" si="29"/>
        <v>168034</v>
      </c>
      <c r="W96" s="29">
        <f t="shared" si="29"/>
        <v>1744233.153</v>
      </c>
      <c r="X96" s="29">
        <f t="shared" si="29"/>
        <v>11541147.641999999</v>
      </c>
      <c r="Y96" s="29">
        <f t="shared" si="29"/>
        <v>11416891</v>
      </c>
      <c r="Z96" s="29">
        <f t="shared" si="29"/>
        <v>11276978</v>
      </c>
      <c r="AA96" s="29">
        <f t="shared" si="29"/>
        <v>11237303.000000002</v>
      </c>
      <c r="AB96" s="29">
        <f t="shared" si="29"/>
        <v>10340855</v>
      </c>
      <c r="AC96" s="29">
        <f t="shared" si="29"/>
        <v>7804531</v>
      </c>
      <c r="AD96" s="29">
        <f t="shared" si="29"/>
        <v>7724687</v>
      </c>
      <c r="AE96" s="29">
        <f t="shared" si="29"/>
        <v>1424005.7999999998</v>
      </c>
      <c r="AF96" s="29">
        <f t="shared" si="29"/>
        <v>6591295.466</v>
      </c>
      <c r="AG96" s="29">
        <f t="shared" si="29"/>
        <v>487782.118</v>
      </c>
      <c r="AH96" s="29">
        <f t="shared" si="29"/>
        <v>5172705.767999999</v>
      </c>
      <c r="AI96" s="29">
        <f t="shared" si="29"/>
        <v>4112833</v>
      </c>
      <c r="AJ96" s="29">
        <f t="shared" si="29"/>
        <v>353807</v>
      </c>
      <c r="AK96" s="29">
        <f t="shared" si="29"/>
        <v>276295</v>
      </c>
      <c r="AL96" s="29">
        <f t="shared" si="29"/>
        <v>3001174</v>
      </c>
      <c r="AM96" s="29">
        <f t="shared" si="29"/>
        <v>2559641</v>
      </c>
      <c r="AN96" s="29">
        <f t="shared" si="29"/>
        <v>2421081</v>
      </c>
      <c r="AO96" s="29">
        <f t="shared" si="29"/>
        <v>213430</v>
      </c>
      <c r="AP96" s="29">
        <f t="shared" si="29"/>
        <v>1563064.2900000003</v>
      </c>
      <c r="AQ96" s="29">
        <f t="shared" si="29"/>
        <v>2105268</v>
      </c>
      <c r="AR96" s="29">
        <f t="shared" si="29"/>
        <v>1966920</v>
      </c>
      <c r="AS96" s="29">
        <f t="shared" si="29"/>
        <v>1374216.813</v>
      </c>
      <c r="AT96" s="29">
        <f t="shared" si="29"/>
        <v>1335083</v>
      </c>
      <c r="AU96" s="29">
        <f t="shared" si="29"/>
        <v>80924</v>
      </c>
      <c r="AV96" s="29">
        <f>+SUM(AV80:AV85)+AV94</f>
        <v>1266850.21</v>
      </c>
      <c r="AW96" s="29">
        <f aca="true" t="shared" si="30" ref="AW96:BG96">+SUM(AW77:AW85)+AW94</f>
        <v>1240011</v>
      </c>
      <c r="AX96" s="29">
        <f t="shared" si="30"/>
        <v>1094190</v>
      </c>
      <c r="AY96" s="29">
        <f t="shared" si="30"/>
        <v>784125</v>
      </c>
      <c r="AZ96" s="29">
        <f t="shared" si="30"/>
        <v>630025</v>
      </c>
      <c r="BA96" s="29">
        <f t="shared" si="30"/>
        <v>353704.154</v>
      </c>
      <c r="BB96" s="29">
        <f t="shared" si="30"/>
        <v>438043</v>
      </c>
      <c r="BC96" s="29">
        <f t="shared" si="30"/>
        <v>477411</v>
      </c>
      <c r="BD96" s="29">
        <f t="shared" si="30"/>
        <v>427776.20000000007</v>
      </c>
      <c r="BE96" s="29">
        <f t="shared" si="30"/>
        <v>333545</v>
      </c>
      <c r="BF96" s="29">
        <f t="shared" si="30"/>
        <v>186223</v>
      </c>
      <c r="BG96" s="29">
        <f t="shared" si="30"/>
        <v>66051.4</v>
      </c>
      <c r="BH96" s="29">
        <f>+SUM(BH80:BH85)+BH94</f>
        <v>19500.521</v>
      </c>
      <c r="BI96" s="29">
        <f>+SUM(BI80:BI85)+BI94</f>
        <v>7385</v>
      </c>
      <c r="BK96" s="29">
        <f t="shared" si="24"/>
        <v>618902325.31</v>
      </c>
      <c r="BL96" s="29"/>
      <c r="BM96" s="29">
        <f t="shared" si="25"/>
        <v>115082387.94399999</v>
      </c>
      <c r="BN96" s="29">
        <f>+B96+SUM(F96:AA96)+AC96+AD96+AE96+AF97+AG96+AH96+AJ96+AK96+AN96+AP96+AQ96+AR96+AT96+AU96+AW96+AZ96+BA96+BC96+BD96+BI96</f>
        <v>497228641.9</v>
      </c>
      <c r="BO96" s="29"/>
    </row>
    <row r="97" spans="1:67" ht="15" customHeight="1" hidden="1">
      <c r="A97" s="250"/>
      <c r="B97" s="29"/>
      <c r="C97" s="29"/>
      <c r="D97" s="29"/>
      <c r="E97" s="29"/>
      <c r="F97" s="29"/>
      <c r="G97" s="29"/>
      <c r="H97" s="29"/>
      <c r="I97" s="29"/>
      <c r="J97" s="29"/>
      <c r="K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K97" s="29"/>
      <c r="BL97" s="29"/>
      <c r="BM97" s="29"/>
      <c r="BN97" s="29"/>
      <c r="BO97" s="29"/>
    </row>
    <row r="98" spans="1:67" ht="15" customHeight="1" hidden="1">
      <c r="A98" s="246" t="s">
        <v>346</v>
      </c>
      <c r="Q98" s="33"/>
      <c r="R98" s="33"/>
      <c r="BK98" s="29"/>
      <c r="BL98" s="29"/>
      <c r="BM98" s="29"/>
      <c r="BN98" s="29"/>
      <c r="BO98" s="29"/>
    </row>
    <row r="99" spans="1:67" ht="15" customHeight="1" hidden="1">
      <c r="A99" s="248" t="s">
        <v>343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42">
        <v>0</v>
      </c>
      <c r="M99" s="30">
        <v>-15781</v>
      </c>
      <c r="N99" s="30">
        <v>15781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K99" s="29">
        <f>SUM(B99:BI99)</f>
        <v>0</v>
      </c>
      <c r="BL99" s="29"/>
      <c r="BM99" s="29">
        <f>+C99+D99+E99+AB99+AI99+AL99+AM99+AO99+AS99+AV99+AX99+AY99+BB99+BE99+BF99+BG99+BH99</f>
        <v>0</v>
      </c>
      <c r="BN99" s="29">
        <f>+B99+SUM(F99:AA99)+AC99+AD99+AE99+AF100+AG99+AH99+AJ99+AK99+AN99+AP99+AQ99+AR99+AT99+AU99+AW99+AZ99+BA99+BC99+BD99+BI99</f>
        <v>0</v>
      </c>
      <c r="BO99" s="29"/>
    </row>
    <row r="100" spans="1:67" ht="15" customHeight="1" hidden="1">
      <c r="A100" s="247" t="s">
        <v>344</v>
      </c>
      <c r="B100" s="30">
        <v>157012</v>
      </c>
      <c r="C100" s="30">
        <v>333548</v>
      </c>
      <c r="D100" s="30">
        <v>0</v>
      </c>
      <c r="E100" s="30">
        <v>0</v>
      </c>
      <c r="F100" s="30">
        <v>928000</v>
      </c>
      <c r="G100" s="30">
        <v>380000</v>
      </c>
      <c r="H100" s="30">
        <v>241667</v>
      </c>
      <c r="I100" s="30">
        <v>302368</v>
      </c>
      <c r="J100" s="30">
        <v>58612</v>
      </c>
      <c r="K100" s="30">
        <v>257549</v>
      </c>
      <c r="L100" s="42">
        <v>423276</v>
      </c>
      <c r="M100" s="30">
        <v>0</v>
      </c>
      <c r="N100" s="30">
        <v>0</v>
      </c>
      <c r="O100" s="30">
        <v>0</v>
      </c>
      <c r="P100" s="30">
        <v>162618</v>
      </c>
      <c r="Q100" s="30">
        <v>83657</v>
      </c>
      <c r="R100" s="30">
        <v>0</v>
      </c>
      <c r="S100" s="30">
        <v>100945.972</v>
      </c>
      <c r="T100" s="30">
        <v>37321</v>
      </c>
      <c r="U100" s="30">
        <v>308344</v>
      </c>
      <c r="V100" s="30">
        <v>279</v>
      </c>
      <c r="W100" s="30">
        <v>0</v>
      </c>
      <c r="X100" s="30">
        <v>129825.134</v>
      </c>
      <c r="Y100" s="30">
        <v>170005</v>
      </c>
      <c r="Z100" s="30">
        <v>40344</v>
      </c>
      <c r="AA100" s="30">
        <v>72185.9</v>
      </c>
      <c r="AB100" s="30">
        <v>77618</v>
      </c>
      <c r="AC100" s="30">
        <v>86081.4</v>
      </c>
      <c r="AD100" s="30">
        <v>38020</v>
      </c>
      <c r="AE100" s="30">
        <v>0</v>
      </c>
      <c r="AF100" s="30">
        <v>0</v>
      </c>
      <c r="AG100" s="30">
        <v>0</v>
      </c>
      <c r="AH100" s="30">
        <v>41000</v>
      </c>
      <c r="AI100" s="30">
        <f>116532</f>
        <v>116532</v>
      </c>
      <c r="AJ100" s="30">
        <f>9001</f>
        <v>9001</v>
      </c>
      <c r="AK100" s="30">
        <v>0</v>
      </c>
      <c r="AL100" s="30">
        <f>449749</f>
        <v>449749</v>
      </c>
      <c r="AM100" s="30">
        <v>141000</v>
      </c>
      <c r="AN100" s="30">
        <v>0</v>
      </c>
      <c r="AO100" s="30">
        <v>0</v>
      </c>
      <c r="AP100" s="30">
        <v>5698.7</v>
      </c>
      <c r="AQ100" s="30">
        <v>0</v>
      </c>
      <c r="AR100" s="30">
        <v>15092</v>
      </c>
      <c r="AS100" s="30">
        <v>0</v>
      </c>
      <c r="AT100" s="30">
        <v>0</v>
      </c>
      <c r="AU100" s="30">
        <v>0</v>
      </c>
      <c r="AV100" s="30">
        <v>4515.702</v>
      </c>
      <c r="AW100" s="30"/>
      <c r="AX100" s="30">
        <v>8577.5</v>
      </c>
      <c r="AY100" s="30">
        <v>1396</v>
      </c>
      <c r="AZ100" s="30">
        <v>0</v>
      </c>
      <c r="BA100" s="30">
        <v>0</v>
      </c>
      <c r="BB100" s="30">
        <v>10930</v>
      </c>
      <c r="BC100" s="30">
        <v>0</v>
      </c>
      <c r="BD100" s="30">
        <v>0</v>
      </c>
      <c r="BE100" s="30">
        <v>3774</v>
      </c>
      <c r="BF100" s="30">
        <v>142</v>
      </c>
      <c r="BG100" s="30">
        <v>0</v>
      </c>
      <c r="BH100" s="30">
        <v>0</v>
      </c>
      <c r="BI100" s="30">
        <v>0</v>
      </c>
      <c r="BK100" s="29">
        <f>SUM(B100:BI100)</f>
        <v>5196684.308</v>
      </c>
      <c r="BL100" s="29"/>
      <c r="BM100" s="29">
        <f>+C100+D100+E100+AB100+AI100+AL100+AM100+AO100+AS100+AV100+AX100+AY100+BB100+BE100+BF100+BG100+BH100</f>
        <v>1147782.202</v>
      </c>
      <c r="BN100" s="29">
        <f>+B100+SUM(F100:AA100)+AC100+AD100+AE100+AF101+AG100+AH100+AJ100+AK100+AN100+AP100+AQ100+AR100+AT101+AU100+AW100+AZ100+BA100+BC100+BD100+BI100</f>
        <v>4050693.6750000003</v>
      </c>
      <c r="BO100" s="29"/>
    </row>
    <row r="101" spans="1:67" ht="15" customHeight="1" hidden="1">
      <c r="A101" s="247" t="s">
        <v>345</v>
      </c>
      <c r="B101" s="30">
        <v>215592</v>
      </c>
      <c r="C101" s="30">
        <v>586759</v>
      </c>
      <c r="D101" s="30">
        <v>0</v>
      </c>
      <c r="E101" s="30">
        <v>0</v>
      </c>
      <c r="F101" s="30">
        <v>11237</v>
      </c>
      <c r="G101" s="30">
        <v>43863.469</v>
      </c>
      <c r="H101" s="30">
        <v>453001</v>
      </c>
      <c r="I101" s="30">
        <v>19536</v>
      </c>
      <c r="J101" s="30">
        <v>491144</v>
      </c>
      <c r="K101" s="30">
        <v>9317</v>
      </c>
      <c r="L101" s="42">
        <v>0</v>
      </c>
      <c r="M101" s="30">
        <v>3187</v>
      </c>
      <c r="N101" s="30">
        <v>497</v>
      </c>
      <c r="O101" s="30">
        <v>0</v>
      </c>
      <c r="P101" s="30">
        <v>1119</v>
      </c>
      <c r="Q101" s="30">
        <v>152312</v>
      </c>
      <c r="R101" s="30">
        <v>0</v>
      </c>
      <c r="S101" s="30">
        <v>2028.807</v>
      </c>
      <c r="T101" s="30">
        <v>4743</v>
      </c>
      <c r="U101" s="30">
        <f>15748+11011</f>
        <v>26759</v>
      </c>
      <c r="V101" s="30">
        <v>-15427</v>
      </c>
      <c r="W101" s="30">
        <v>612.524</v>
      </c>
      <c r="X101" s="30">
        <v>-31072.945</v>
      </c>
      <c r="Y101" s="30">
        <v>7075</v>
      </c>
      <c r="Z101" s="30">
        <v>16850</v>
      </c>
      <c r="AA101" s="30">
        <v>2825</v>
      </c>
      <c r="AB101" s="30">
        <v>85473</v>
      </c>
      <c r="AC101" s="30">
        <v>13508.4</v>
      </c>
      <c r="AD101" s="30">
        <v>6624</v>
      </c>
      <c r="AE101" s="30">
        <v>658</v>
      </c>
      <c r="AF101" s="30">
        <v>1791.569</v>
      </c>
      <c r="AG101" s="30">
        <v>-42268.572</v>
      </c>
      <c r="AH101" s="30">
        <v>2000</v>
      </c>
      <c r="AI101" s="30">
        <f>13560</f>
        <v>13560</v>
      </c>
      <c r="AJ101" s="30">
        <v>1166</v>
      </c>
      <c r="AK101" s="30">
        <v>1756</v>
      </c>
      <c r="AL101" s="30">
        <v>7804</v>
      </c>
      <c r="AM101" s="30">
        <v>2741</v>
      </c>
      <c r="AN101" s="30">
        <v>196</v>
      </c>
      <c r="AO101" s="30">
        <v>0</v>
      </c>
      <c r="AP101" s="30">
        <v>513.3</v>
      </c>
      <c r="AQ101" s="30">
        <v>0</v>
      </c>
      <c r="AR101" s="30">
        <v>800</v>
      </c>
      <c r="AS101" s="30">
        <v>143.9</v>
      </c>
      <c r="AT101" s="30">
        <v>0</v>
      </c>
      <c r="AU101" s="30">
        <v>3500</v>
      </c>
      <c r="AV101" s="30">
        <v>1467.606</v>
      </c>
      <c r="AW101" s="30">
        <v>9694</v>
      </c>
      <c r="AX101" s="30">
        <v>397.5</v>
      </c>
      <c r="AY101" s="30">
        <v>9849</v>
      </c>
      <c r="AZ101" s="30">
        <v>588</v>
      </c>
      <c r="BA101" s="30">
        <v>179.994</v>
      </c>
      <c r="BB101" s="30">
        <v>1147</v>
      </c>
      <c r="BC101" s="30">
        <v>536</v>
      </c>
      <c r="BD101" s="30">
        <v>0</v>
      </c>
      <c r="BE101" s="30">
        <v>0</v>
      </c>
      <c r="BF101" s="30">
        <v>0</v>
      </c>
      <c r="BG101" s="30">
        <v>1</v>
      </c>
      <c r="BH101" s="30">
        <v>0</v>
      </c>
      <c r="BI101" s="30">
        <v>0</v>
      </c>
      <c r="BK101" s="29">
        <f>SUM(B101:BI101)</f>
        <v>2125784.552</v>
      </c>
      <c r="BL101" s="29"/>
      <c r="BM101" s="29">
        <f>+C101+D101+E101+AB101+AI101+AL101+AM101+AO101+AS101+AV101+AX101+AY101+BB101+BE101+BF101+BG101+BH101</f>
        <v>709343.006</v>
      </c>
      <c r="BN101" s="29">
        <f>+B101+SUM(F101:AA101)+AC101+AD101+AE101+AF102+AG101+AH101+AJ101+AK101+AN101+AP101+AQ101+AR101+AT102+AU101+AW101+AZ101+BA101+BC101+BD101+BI101</f>
        <v>1416441.5459999999</v>
      </c>
      <c r="BO101" s="29"/>
    </row>
    <row r="102" spans="1:67" ht="15" customHeight="1">
      <c r="A102" s="260" t="s">
        <v>346</v>
      </c>
      <c r="B102" s="29">
        <f aca="true" t="shared" si="31" ref="B102:AG102">SUM(B99:B101)</f>
        <v>372604</v>
      </c>
      <c r="C102" s="29">
        <f t="shared" si="31"/>
        <v>920307</v>
      </c>
      <c r="D102" s="29">
        <f t="shared" si="31"/>
        <v>0</v>
      </c>
      <c r="E102" s="29">
        <f t="shared" si="31"/>
        <v>0</v>
      </c>
      <c r="F102" s="29">
        <f t="shared" si="31"/>
        <v>939237</v>
      </c>
      <c r="G102" s="29">
        <f t="shared" si="31"/>
        <v>423863.469</v>
      </c>
      <c r="H102" s="29">
        <f t="shared" si="31"/>
        <v>694668</v>
      </c>
      <c r="I102" s="29">
        <f t="shared" si="31"/>
        <v>321904</v>
      </c>
      <c r="J102" s="29">
        <f t="shared" si="31"/>
        <v>549756</v>
      </c>
      <c r="K102" s="29">
        <f t="shared" si="31"/>
        <v>266866</v>
      </c>
      <c r="L102" s="29">
        <f t="shared" si="31"/>
        <v>423276</v>
      </c>
      <c r="M102" s="29">
        <f t="shared" si="31"/>
        <v>-12594</v>
      </c>
      <c r="N102" s="29">
        <f t="shared" si="31"/>
        <v>16278</v>
      </c>
      <c r="O102" s="29">
        <f t="shared" si="31"/>
        <v>0</v>
      </c>
      <c r="P102" s="29">
        <f t="shared" si="31"/>
        <v>163737</v>
      </c>
      <c r="Q102" s="29">
        <f t="shared" si="31"/>
        <v>235969</v>
      </c>
      <c r="R102" s="29">
        <f t="shared" si="31"/>
        <v>0</v>
      </c>
      <c r="S102" s="29">
        <f t="shared" si="31"/>
        <v>102974.779</v>
      </c>
      <c r="T102" s="29">
        <f t="shared" si="31"/>
        <v>42064</v>
      </c>
      <c r="U102" s="29">
        <f t="shared" si="31"/>
        <v>335103</v>
      </c>
      <c r="V102" s="29">
        <f t="shared" si="31"/>
        <v>-15148</v>
      </c>
      <c r="W102" s="29">
        <f t="shared" si="31"/>
        <v>612.524</v>
      </c>
      <c r="X102" s="29">
        <f t="shared" si="31"/>
        <v>98752.18900000001</v>
      </c>
      <c r="Y102" s="29">
        <f t="shared" si="31"/>
        <v>177080</v>
      </c>
      <c r="Z102" s="29">
        <f t="shared" si="31"/>
        <v>57194</v>
      </c>
      <c r="AA102" s="29">
        <f t="shared" si="31"/>
        <v>75010.9</v>
      </c>
      <c r="AB102" s="29">
        <f t="shared" si="31"/>
        <v>163091</v>
      </c>
      <c r="AC102" s="29">
        <f t="shared" si="31"/>
        <v>99589.79999999999</v>
      </c>
      <c r="AD102" s="29">
        <f t="shared" si="31"/>
        <v>44644</v>
      </c>
      <c r="AE102" s="29">
        <f t="shared" si="31"/>
        <v>658</v>
      </c>
      <c r="AF102" s="29">
        <f t="shared" si="31"/>
        <v>1791.569</v>
      </c>
      <c r="AG102" s="29">
        <f t="shared" si="31"/>
        <v>-42268.572</v>
      </c>
      <c r="AH102" s="29">
        <f aca="true" t="shared" si="32" ref="AH102:BI102">SUM(AH99:AH101)</f>
        <v>43000</v>
      </c>
      <c r="AI102" s="29">
        <f t="shared" si="32"/>
        <v>130092</v>
      </c>
      <c r="AJ102" s="29">
        <f t="shared" si="32"/>
        <v>10167</v>
      </c>
      <c r="AK102" s="29">
        <f t="shared" si="32"/>
        <v>1756</v>
      </c>
      <c r="AL102" s="29">
        <f t="shared" si="32"/>
        <v>457553</v>
      </c>
      <c r="AM102" s="29">
        <f t="shared" si="32"/>
        <v>143741</v>
      </c>
      <c r="AN102" s="29">
        <f t="shared" si="32"/>
        <v>196</v>
      </c>
      <c r="AO102" s="29">
        <f t="shared" si="32"/>
        <v>0</v>
      </c>
      <c r="AP102" s="29">
        <f t="shared" si="32"/>
        <v>6212</v>
      </c>
      <c r="AQ102" s="29">
        <f t="shared" si="32"/>
        <v>0</v>
      </c>
      <c r="AR102" s="29">
        <f t="shared" si="32"/>
        <v>15892</v>
      </c>
      <c r="AS102" s="29">
        <f t="shared" si="32"/>
        <v>143.9</v>
      </c>
      <c r="AT102" s="29">
        <f>SUM(AT99:AT101)</f>
        <v>0</v>
      </c>
      <c r="AU102" s="29">
        <f t="shared" si="32"/>
        <v>3500</v>
      </c>
      <c r="AV102" s="29">
        <f t="shared" si="32"/>
        <v>5983.308</v>
      </c>
      <c r="AW102" s="29">
        <f t="shared" si="32"/>
        <v>9694</v>
      </c>
      <c r="AX102" s="29">
        <f t="shared" si="32"/>
        <v>8975</v>
      </c>
      <c r="AY102" s="29">
        <f t="shared" si="32"/>
        <v>11245</v>
      </c>
      <c r="AZ102" s="29">
        <f t="shared" si="32"/>
        <v>588</v>
      </c>
      <c r="BA102" s="29">
        <f t="shared" si="32"/>
        <v>179.994</v>
      </c>
      <c r="BB102" s="29">
        <f t="shared" si="32"/>
        <v>12077</v>
      </c>
      <c r="BC102" s="29">
        <f t="shared" si="32"/>
        <v>536</v>
      </c>
      <c r="BD102" s="29">
        <f t="shared" si="32"/>
        <v>0</v>
      </c>
      <c r="BE102" s="29">
        <f t="shared" si="32"/>
        <v>3774</v>
      </c>
      <c r="BF102" s="29">
        <f t="shared" si="32"/>
        <v>142</v>
      </c>
      <c r="BG102" s="29">
        <f t="shared" si="32"/>
        <v>1</v>
      </c>
      <c r="BH102" s="29">
        <f t="shared" si="32"/>
        <v>0</v>
      </c>
      <c r="BI102" s="29">
        <f t="shared" si="32"/>
        <v>0</v>
      </c>
      <c r="BK102" s="29">
        <f>SUM(B102:BI102)</f>
        <v>7322468.860000002</v>
      </c>
      <c r="BL102" s="29"/>
      <c r="BM102" s="29">
        <f>+C102+D102+E102+AB102+AI102+AL102+AM102+AO102+AS102+AV102+AX102+AY102+BB102+BE102+BF102+BG102+BH102</f>
        <v>1857125.2079999999</v>
      </c>
      <c r="BN102" s="29">
        <f>+B102+SUM(F102:AA102)+AC102+AD102+AE102+AF103+AG102+AH102+AJ102+AK102+AN102+AP102+AQ102+AR102+AT102+AU102+AW102+AZ102+BA102+BC102+BD102+BI102</f>
        <v>5463552.083000001</v>
      </c>
      <c r="BO102" s="29"/>
    </row>
    <row r="103" spans="1:67" ht="15" customHeight="1" hidden="1">
      <c r="A103" s="250"/>
      <c r="Q103" s="33"/>
      <c r="R103" s="33"/>
      <c r="W103" s="30"/>
      <c r="BK103" s="29"/>
      <c r="BL103" s="29"/>
      <c r="BM103" s="29"/>
      <c r="BN103" s="29"/>
      <c r="BO103" s="29"/>
    </row>
    <row r="104" spans="1:67" ht="15" customHeight="1" hidden="1">
      <c r="A104" s="246" t="s">
        <v>351</v>
      </c>
      <c r="Q104" s="33"/>
      <c r="R104" s="33"/>
      <c r="BK104" s="29"/>
      <c r="BL104" s="29"/>
      <c r="BM104" s="29"/>
      <c r="BN104" s="29"/>
      <c r="BO104" s="29"/>
    </row>
    <row r="105" spans="1:67" ht="15" customHeight="1" hidden="1">
      <c r="A105" s="247" t="s">
        <v>348</v>
      </c>
      <c r="B105" s="30">
        <v>9832</v>
      </c>
      <c r="C105" s="30">
        <v>9832</v>
      </c>
      <c r="D105" s="30">
        <v>0</v>
      </c>
      <c r="E105" s="30">
        <v>0</v>
      </c>
      <c r="F105" s="30">
        <v>73067</v>
      </c>
      <c r="G105" s="30">
        <v>22947.18</v>
      </c>
      <c r="H105" s="30">
        <v>4322</v>
      </c>
      <c r="I105" s="30">
        <v>19933</v>
      </c>
      <c r="J105" s="30">
        <v>0</v>
      </c>
      <c r="K105" s="30">
        <v>9858</v>
      </c>
      <c r="L105" s="42">
        <v>8728.628</v>
      </c>
      <c r="M105" s="30">
        <v>1644</v>
      </c>
      <c r="N105" s="30">
        <v>150</v>
      </c>
      <c r="O105" s="30">
        <v>0</v>
      </c>
      <c r="P105" s="30">
        <v>23411</v>
      </c>
      <c r="Q105" s="30">
        <v>17497</v>
      </c>
      <c r="R105" s="30">
        <v>0</v>
      </c>
      <c r="S105" s="30">
        <v>0</v>
      </c>
      <c r="T105" s="30">
        <v>0</v>
      </c>
      <c r="U105" s="30">
        <v>1313</v>
      </c>
      <c r="V105" s="30">
        <v>0</v>
      </c>
      <c r="W105" s="30">
        <v>0</v>
      </c>
      <c r="X105" s="30">
        <v>13363.449</v>
      </c>
      <c r="Y105" s="30">
        <v>1386</v>
      </c>
      <c r="Z105" s="30">
        <v>0</v>
      </c>
      <c r="AA105" s="30">
        <v>3139.1</v>
      </c>
      <c r="AB105" s="30">
        <v>2185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1785.597</v>
      </c>
      <c r="AI105" s="30">
        <f>8488</f>
        <v>8488</v>
      </c>
      <c r="AJ105" s="30">
        <f>1114</f>
        <v>1114</v>
      </c>
      <c r="AK105" s="30">
        <v>0</v>
      </c>
      <c r="AL105" s="30">
        <v>0</v>
      </c>
      <c r="AM105" s="30">
        <v>0</v>
      </c>
      <c r="AN105" s="30"/>
      <c r="AO105" s="30"/>
      <c r="AP105" s="30">
        <v>1716.1</v>
      </c>
      <c r="AQ105" s="30"/>
      <c r="AR105" s="30"/>
      <c r="AS105" s="30"/>
      <c r="AT105" s="30"/>
      <c r="AU105" s="30"/>
      <c r="AV105" s="30"/>
      <c r="AW105" s="30">
        <v>0</v>
      </c>
      <c r="AX105" s="30">
        <v>0</v>
      </c>
      <c r="AY105" s="30">
        <v>0</v>
      </c>
      <c r="AZ105" s="30">
        <v>0</v>
      </c>
      <c r="BA105" s="30">
        <v>0</v>
      </c>
      <c r="BB105" s="30">
        <v>0</v>
      </c>
      <c r="BC105" s="30">
        <v>0</v>
      </c>
      <c r="BD105" s="30">
        <v>0</v>
      </c>
      <c r="BE105" s="30">
        <v>0</v>
      </c>
      <c r="BF105" s="30">
        <v>0</v>
      </c>
      <c r="BG105" s="30">
        <v>0</v>
      </c>
      <c r="BH105" s="30">
        <v>0</v>
      </c>
      <c r="BI105" s="30">
        <v>0</v>
      </c>
      <c r="BK105" s="29">
        <f>SUM(B105:BI105)</f>
        <v>235712.054</v>
      </c>
      <c r="BL105" s="29"/>
      <c r="BM105" s="29">
        <f>+C105+D105+E105+AB105+AI105+AL105+AM105+AO105+AS105+AV105+AX105+AY105+BB105+BE105+BF105+BG105+BH105</f>
        <v>20505</v>
      </c>
      <c r="BN105" s="29">
        <f>+B105+SUM(F105:AA105)+AC105+AD105+AE105+AF106+AG105+AH105+AJ105+AK105+AN105+AP105+AQ105+AR105+AT105+AU105+AW105+AZ105+BA105+BC105+BD105+BI105</f>
        <v>334935.937</v>
      </c>
      <c r="BO105" s="29"/>
    </row>
    <row r="106" spans="1:67" ht="15" customHeight="1" hidden="1">
      <c r="A106" s="247" t="s">
        <v>349</v>
      </c>
      <c r="B106" s="30">
        <v>365615</v>
      </c>
      <c r="C106" s="30">
        <v>236863</v>
      </c>
      <c r="D106" s="30">
        <v>114576</v>
      </c>
      <c r="E106" s="30">
        <v>30730</v>
      </c>
      <c r="F106" s="30">
        <v>1337458</v>
      </c>
      <c r="G106" s="30">
        <v>560086.287</v>
      </c>
      <c r="H106" s="30">
        <v>290641</v>
      </c>
      <c r="I106" s="30">
        <v>333703</v>
      </c>
      <c r="J106" s="30"/>
      <c r="K106" s="30">
        <v>1023887</v>
      </c>
      <c r="L106" s="42">
        <v>281195</v>
      </c>
      <c r="M106" s="30">
        <v>423726</v>
      </c>
      <c r="N106" s="30">
        <v>61500</v>
      </c>
      <c r="O106" s="30">
        <v>52817</v>
      </c>
      <c r="P106" s="30">
        <v>151036</v>
      </c>
      <c r="Q106" s="30">
        <v>198797</v>
      </c>
      <c r="R106" s="30">
        <v>0</v>
      </c>
      <c r="S106" s="30">
        <v>134559.829</v>
      </c>
      <c r="T106" s="30">
        <v>75239</v>
      </c>
      <c r="U106" s="30">
        <v>71291</v>
      </c>
      <c r="V106" s="30">
        <v>114321</v>
      </c>
      <c r="W106" s="30">
        <v>18118.042</v>
      </c>
      <c r="X106" s="30">
        <v>2416.953</v>
      </c>
      <c r="Y106" s="30">
        <v>121716</v>
      </c>
      <c r="Z106" s="30">
        <v>75240</v>
      </c>
      <c r="AA106" s="30">
        <v>18639.7</v>
      </c>
      <c r="AB106" s="30">
        <v>0</v>
      </c>
      <c r="AC106" s="30">
        <v>343757</v>
      </c>
      <c r="AD106" s="30">
        <v>22489</v>
      </c>
      <c r="AE106" s="30">
        <v>15587</v>
      </c>
      <c r="AF106" s="30">
        <v>119728.883</v>
      </c>
      <c r="AG106" s="30">
        <v>343.557</v>
      </c>
      <c r="AH106" s="30">
        <v>120605.435</v>
      </c>
      <c r="AI106" s="30">
        <f>23877</f>
        <v>23877</v>
      </c>
      <c r="AJ106" s="30">
        <f>2054</f>
        <v>2054</v>
      </c>
      <c r="AK106" s="30">
        <v>20697</v>
      </c>
      <c r="AL106" s="30">
        <v>133369</v>
      </c>
      <c r="AM106" s="30">
        <v>8194</v>
      </c>
      <c r="AN106" s="30">
        <v>8763</v>
      </c>
      <c r="AO106" s="30">
        <v>3184</v>
      </c>
      <c r="AP106" s="30">
        <v>813945.4</v>
      </c>
      <c r="AQ106" s="30">
        <v>1128</v>
      </c>
      <c r="AR106" s="30">
        <v>20435</v>
      </c>
      <c r="AS106" s="30">
        <v>36188.049</v>
      </c>
      <c r="AT106" s="30">
        <v>11637</v>
      </c>
      <c r="AU106" s="30">
        <v>3</v>
      </c>
      <c r="AV106" s="30">
        <f>25966.885+10324.263</f>
        <v>36291.148</v>
      </c>
      <c r="AW106" s="30">
        <v>260</v>
      </c>
      <c r="AX106" s="30">
        <v>1422.4</v>
      </c>
      <c r="AY106" s="30">
        <v>236</v>
      </c>
      <c r="AZ106" s="30">
        <v>821</v>
      </c>
      <c r="BA106" s="29">
        <v>228243.752</v>
      </c>
      <c r="BB106" s="30">
        <v>44719</v>
      </c>
      <c r="BC106" s="30">
        <v>284</v>
      </c>
      <c r="BD106" s="30">
        <v>18572.4</v>
      </c>
      <c r="BE106" s="30">
        <v>7151</v>
      </c>
      <c r="BF106" s="30">
        <v>2851</v>
      </c>
      <c r="BG106" s="30">
        <v>38111</v>
      </c>
      <c r="BH106" s="30">
        <v>40023.162</v>
      </c>
      <c r="BI106" s="30">
        <v>1816.651</v>
      </c>
      <c r="BK106" s="29">
        <f>SUM(B106:BI106)</f>
        <v>8220959.648000001</v>
      </c>
      <c r="BL106" s="29"/>
      <c r="BM106" s="29">
        <f>+C106+D106+E106+AB106+AI106+AL106+AM106+AO106+AS106+AV106+AX106+AY106+BB106+BE106+BF106+BG106+BH106</f>
        <v>757785.7590000001</v>
      </c>
      <c r="BN106" s="29">
        <f>+B106+SUM(F106:AA106)+AC106+AD106+AE106+AF107+AG106+AH106+AJ106+AK106+AN106+AP106+AQ106+AR106+AT106+AU106+AW106+AZ106+BA106+BC106+BD106+BI106</f>
        <v>7343445.006000001</v>
      </c>
      <c r="BO106" s="29"/>
    </row>
    <row r="107" spans="1:67" ht="15" customHeight="1" hidden="1">
      <c r="A107" s="247" t="s">
        <v>350</v>
      </c>
      <c r="B107" s="30"/>
      <c r="C107" s="30"/>
      <c r="D107" s="30"/>
      <c r="E107" s="30"/>
      <c r="F107" s="30">
        <v>0</v>
      </c>
      <c r="G107" s="30">
        <v>194322.369</v>
      </c>
      <c r="H107" s="30"/>
      <c r="I107" s="30"/>
      <c r="J107" s="30"/>
      <c r="K107" s="30">
        <v>0</v>
      </c>
      <c r="L107" s="42">
        <v>0</v>
      </c>
      <c r="M107" s="30">
        <v>39721</v>
      </c>
      <c r="N107" s="30">
        <v>8031</v>
      </c>
      <c r="O107" s="30">
        <v>0</v>
      </c>
      <c r="P107" s="30">
        <v>0</v>
      </c>
      <c r="Q107" s="30">
        <v>0</v>
      </c>
      <c r="R107" s="30">
        <v>0</v>
      </c>
      <c r="S107" s="30">
        <v>6329.115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64486</v>
      </c>
      <c r="Z107" s="30">
        <v>0</v>
      </c>
      <c r="AA107" s="30">
        <v>0</v>
      </c>
      <c r="AB107" s="30">
        <v>0</v>
      </c>
      <c r="AC107" s="30">
        <v>0</v>
      </c>
      <c r="AD107" s="30">
        <v>39363</v>
      </c>
      <c r="AE107" s="30">
        <v>0</v>
      </c>
      <c r="AF107" s="30">
        <v>0</v>
      </c>
      <c r="AG107" s="30">
        <v>0</v>
      </c>
      <c r="AH107" s="30">
        <v>122931.993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/>
      <c r="AO107" s="30"/>
      <c r="AP107" s="30"/>
      <c r="AQ107" s="30">
        <v>4274</v>
      </c>
      <c r="AR107" s="30"/>
      <c r="AS107" s="30"/>
      <c r="AT107" s="30"/>
      <c r="AU107" s="30">
        <v>210</v>
      </c>
      <c r="AV107" s="30"/>
      <c r="AW107" s="30">
        <v>3021</v>
      </c>
      <c r="AX107" s="30">
        <v>0</v>
      </c>
      <c r="AY107" s="30">
        <v>0</v>
      </c>
      <c r="AZ107" s="30">
        <v>0</v>
      </c>
      <c r="BA107" s="30">
        <v>0</v>
      </c>
      <c r="BB107" s="30">
        <v>0</v>
      </c>
      <c r="BC107" s="30">
        <v>0</v>
      </c>
      <c r="BD107" s="30">
        <v>0</v>
      </c>
      <c r="BE107" s="30">
        <v>0</v>
      </c>
      <c r="BF107" s="30">
        <v>0</v>
      </c>
      <c r="BG107" s="30"/>
      <c r="BH107" s="30"/>
      <c r="BI107" s="30"/>
      <c r="BK107" s="29">
        <f>SUM(B107:BI107)</f>
        <v>482689.477</v>
      </c>
      <c r="BL107" s="29"/>
      <c r="BM107" s="29">
        <f>+C107+D107+E107+AB107+AI107+AL107+AM107+AO107+AS107+AV107+AX107+AY107+BB107+BE107+BF107+BG107+BH107</f>
        <v>0</v>
      </c>
      <c r="BN107" s="29">
        <f>+B107+SUM(F107:AA107)+AC107+AD107+AE107+AF108+AG107+AH107+AJ107+AK107+AN107+AP107+AQ107+AR107+AT107+AU107+AW107+AZ107+BA107+BC107+BD107+BI107</f>
        <v>602418.36</v>
      </c>
      <c r="BO107" s="29"/>
    </row>
    <row r="108" spans="1:67" ht="15" customHeight="1">
      <c r="A108" s="260" t="s">
        <v>351</v>
      </c>
      <c r="B108" s="29">
        <f aca="true" t="shared" si="33" ref="B108:AG108">SUM(B105:B107)</f>
        <v>375447</v>
      </c>
      <c r="C108" s="29">
        <f t="shared" si="33"/>
        <v>246695</v>
      </c>
      <c r="D108" s="29">
        <f t="shared" si="33"/>
        <v>114576</v>
      </c>
      <c r="E108" s="29">
        <f t="shared" si="33"/>
        <v>30730</v>
      </c>
      <c r="F108" s="29">
        <f t="shared" si="33"/>
        <v>1410525</v>
      </c>
      <c r="G108" s="29">
        <f t="shared" si="33"/>
        <v>777355.8360000001</v>
      </c>
      <c r="H108" s="29">
        <f t="shared" si="33"/>
        <v>294963</v>
      </c>
      <c r="I108" s="29">
        <f t="shared" si="33"/>
        <v>353636</v>
      </c>
      <c r="J108" s="29">
        <f t="shared" si="33"/>
        <v>0</v>
      </c>
      <c r="K108" s="29">
        <f t="shared" si="33"/>
        <v>1033745</v>
      </c>
      <c r="L108" s="29">
        <f t="shared" si="33"/>
        <v>289923.628</v>
      </c>
      <c r="M108" s="29">
        <f t="shared" si="33"/>
        <v>465091</v>
      </c>
      <c r="N108" s="29">
        <f t="shared" si="33"/>
        <v>69681</v>
      </c>
      <c r="O108" s="29">
        <f t="shared" si="33"/>
        <v>52817</v>
      </c>
      <c r="P108" s="29">
        <f t="shared" si="33"/>
        <v>174447</v>
      </c>
      <c r="Q108" s="29">
        <f t="shared" si="33"/>
        <v>216294</v>
      </c>
      <c r="R108" s="29">
        <f t="shared" si="33"/>
        <v>0</v>
      </c>
      <c r="S108" s="29">
        <f t="shared" si="33"/>
        <v>140888.944</v>
      </c>
      <c r="T108" s="29">
        <f t="shared" si="33"/>
        <v>75239</v>
      </c>
      <c r="U108" s="29">
        <f t="shared" si="33"/>
        <v>72604</v>
      </c>
      <c r="V108" s="29">
        <f t="shared" si="33"/>
        <v>114321</v>
      </c>
      <c r="W108" s="29">
        <f t="shared" si="33"/>
        <v>18118.042</v>
      </c>
      <c r="X108" s="29">
        <f t="shared" si="33"/>
        <v>15780.402</v>
      </c>
      <c r="Y108" s="29">
        <f t="shared" si="33"/>
        <v>187588</v>
      </c>
      <c r="Z108" s="29">
        <f t="shared" si="33"/>
        <v>75240</v>
      </c>
      <c r="AA108" s="29">
        <f t="shared" si="33"/>
        <v>21778.8</v>
      </c>
      <c r="AB108" s="29">
        <f t="shared" si="33"/>
        <v>2185</v>
      </c>
      <c r="AC108" s="29">
        <f t="shared" si="33"/>
        <v>343757</v>
      </c>
      <c r="AD108" s="29">
        <f t="shared" si="33"/>
        <v>61852</v>
      </c>
      <c r="AE108" s="29">
        <f t="shared" si="33"/>
        <v>15587</v>
      </c>
      <c r="AF108" s="29">
        <f t="shared" si="33"/>
        <v>119728.883</v>
      </c>
      <c r="AG108" s="29">
        <f t="shared" si="33"/>
        <v>343.557</v>
      </c>
      <c r="AH108" s="29">
        <f aca="true" t="shared" si="34" ref="AH108:BI108">SUM(AH105:AH107)</f>
        <v>245323.025</v>
      </c>
      <c r="AI108" s="29">
        <f t="shared" si="34"/>
        <v>32365</v>
      </c>
      <c r="AJ108" s="29">
        <f t="shared" si="34"/>
        <v>3168</v>
      </c>
      <c r="AK108" s="29">
        <f t="shared" si="34"/>
        <v>20697</v>
      </c>
      <c r="AL108" s="29">
        <f t="shared" si="34"/>
        <v>133369</v>
      </c>
      <c r="AM108" s="29">
        <f t="shared" si="34"/>
        <v>8194</v>
      </c>
      <c r="AN108" s="29">
        <f t="shared" si="34"/>
        <v>8763</v>
      </c>
      <c r="AO108" s="29">
        <f t="shared" si="34"/>
        <v>3184</v>
      </c>
      <c r="AP108" s="29">
        <f t="shared" si="34"/>
        <v>815661.5</v>
      </c>
      <c r="AQ108" s="29">
        <f t="shared" si="34"/>
        <v>5402</v>
      </c>
      <c r="AR108" s="29">
        <f t="shared" si="34"/>
        <v>20435</v>
      </c>
      <c r="AS108" s="29">
        <f t="shared" si="34"/>
        <v>36188.049</v>
      </c>
      <c r="AT108" s="29">
        <f t="shared" si="34"/>
        <v>11637</v>
      </c>
      <c r="AU108" s="29">
        <f t="shared" si="34"/>
        <v>213</v>
      </c>
      <c r="AV108" s="29">
        <f t="shared" si="34"/>
        <v>36291.148</v>
      </c>
      <c r="AW108" s="29">
        <f t="shared" si="34"/>
        <v>3281</v>
      </c>
      <c r="AX108" s="29">
        <f t="shared" si="34"/>
        <v>1422.4</v>
      </c>
      <c r="AY108" s="29">
        <f t="shared" si="34"/>
        <v>236</v>
      </c>
      <c r="AZ108" s="29">
        <f t="shared" si="34"/>
        <v>821</v>
      </c>
      <c r="BA108" s="29">
        <f t="shared" si="34"/>
        <v>228243.752</v>
      </c>
      <c r="BB108" s="29">
        <f t="shared" si="34"/>
        <v>44719</v>
      </c>
      <c r="BC108" s="29">
        <f t="shared" si="34"/>
        <v>284</v>
      </c>
      <c r="BD108" s="29">
        <f t="shared" si="34"/>
        <v>18572.4</v>
      </c>
      <c r="BE108" s="29">
        <f t="shared" si="34"/>
        <v>7151</v>
      </c>
      <c r="BF108" s="29">
        <f t="shared" si="34"/>
        <v>2851</v>
      </c>
      <c r="BG108" s="29">
        <f t="shared" si="34"/>
        <v>38111</v>
      </c>
      <c r="BH108" s="29">
        <f t="shared" si="34"/>
        <v>40023.162</v>
      </c>
      <c r="BI108" s="29">
        <f t="shared" si="34"/>
        <v>1816.651</v>
      </c>
      <c r="BK108" s="29">
        <f>SUM(B108:BI108)</f>
        <v>8939361.179000003</v>
      </c>
      <c r="BL108" s="29"/>
      <c r="BM108" s="29">
        <f>+C108+D108+E108+AB108+AI108+AL108+AM108+AO108+AS108+AV108+AX108+AY108+BB108+BE108+BF108+BG108+BH108</f>
        <v>778290.7590000001</v>
      </c>
      <c r="BN108" s="29">
        <f>+B108+SUM(F108:AA108)+AC108+AD108+AE108+AF109+AG108+AH108+AJ108+AK108+AN108+AP108+AQ108+AR108+AT108+AU108+AW108+AZ108+BA108+BC108+BD108+BI108</f>
        <v>8041341.5370000005</v>
      </c>
      <c r="BO108" s="29"/>
    </row>
    <row r="109" spans="1:67" ht="15" customHeight="1" hidden="1">
      <c r="A109" s="251"/>
      <c r="Q109" s="33"/>
      <c r="R109" s="33"/>
      <c r="BK109" s="29"/>
      <c r="BL109" s="29"/>
      <c r="BM109" s="29"/>
      <c r="BN109" s="29"/>
      <c r="BO109" s="29"/>
    </row>
    <row r="110" spans="1:67" ht="15" customHeight="1">
      <c r="A110" s="261" t="s">
        <v>352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42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/>
      <c r="U110" s="30">
        <v>0</v>
      </c>
      <c r="V110" s="30">
        <v>0</v>
      </c>
      <c r="W110" s="29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v>0</v>
      </c>
      <c r="AY110" s="30">
        <v>0</v>
      </c>
      <c r="AZ110" s="30">
        <v>0</v>
      </c>
      <c r="BA110" s="30">
        <v>0</v>
      </c>
      <c r="BB110" s="30">
        <v>0</v>
      </c>
      <c r="BC110" s="30">
        <v>0</v>
      </c>
      <c r="BD110" s="30">
        <v>0</v>
      </c>
      <c r="BE110" s="30">
        <v>0</v>
      </c>
      <c r="BF110" s="30">
        <v>0</v>
      </c>
      <c r="BG110" s="30">
        <v>0</v>
      </c>
      <c r="BH110" s="30">
        <v>0</v>
      </c>
      <c r="BI110" s="30">
        <v>0</v>
      </c>
      <c r="BK110" s="29">
        <f>SUM(B110:BI110)</f>
        <v>0</v>
      </c>
      <c r="BL110" s="29"/>
      <c r="BM110" s="29">
        <f>+C110+D110+E110+AB110+AI110+AL110+AM110+AO110+AS110+AV110+AX110+AY110+BB110+BE110+BF110+BG110+BH110</f>
        <v>0</v>
      </c>
      <c r="BN110" s="29">
        <f>+B110+SUM(F110:AA110)+AC110+AD110+AE110+AF111+AG110+AH110+AJ110+AK110+AN110+AP110+AQ110+AR110+AT110+AU110+AW110+AZ110+BA110+BC110+BD110+BI110</f>
        <v>0</v>
      </c>
      <c r="BO110" s="29"/>
    </row>
    <row r="111" spans="1:67" ht="15" customHeight="1" hidden="1">
      <c r="A111" s="251"/>
      <c r="Q111" s="33"/>
      <c r="R111" s="33"/>
      <c r="BK111" s="29"/>
      <c r="BL111" s="29"/>
      <c r="BM111" s="29"/>
      <c r="BN111" s="29"/>
      <c r="BO111" s="29"/>
    </row>
    <row r="112" spans="1:67" s="105" customFormat="1" ht="15" customHeight="1">
      <c r="A112" s="256" t="s">
        <v>443</v>
      </c>
      <c r="B112" s="36">
        <f>+B96+B102+B108+B110</f>
        <v>24422868</v>
      </c>
      <c r="C112" s="36">
        <f aca="true" t="shared" si="35" ref="C112:BI112">+C96+C102+C108+C110</f>
        <v>90402113</v>
      </c>
      <c r="D112" s="36">
        <f t="shared" si="35"/>
        <v>171175</v>
      </c>
      <c r="E112" s="36">
        <f t="shared" si="35"/>
        <v>30730</v>
      </c>
      <c r="F112" s="36">
        <f t="shared" si="35"/>
        <v>102177838</v>
      </c>
      <c r="G112" s="36">
        <f t="shared" si="35"/>
        <v>53465137.769</v>
      </c>
      <c r="H112" s="36">
        <f t="shared" si="35"/>
        <v>47018568</v>
      </c>
      <c r="I112" s="36">
        <f t="shared" si="35"/>
        <v>48931602</v>
      </c>
      <c r="J112" s="36">
        <f t="shared" si="35"/>
        <v>549756</v>
      </c>
      <c r="K112" s="36">
        <f t="shared" si="35"/>
        <v>27968753</v>
      </c>
      <c r="L112" s="36">
        <f t="shared" si="35"/>
        <v>23870648.161</v>
      </c>
      <c r="M112" s="36">
        <f t="shared" si="35"/>
        <v>16187738</v>
      </c>
      <c r="N112" s="36">
        <f t="shared" si="35"/>
        <v>3601324</v>
      </c>
      <c r="O112" s="36">
        <f t="shared" si="35"/>
        <v>1876502</v>
      </c>
      <c r="P112" s="36">
        <f t="shared" si="35"/>
        <v>18858028</v>
      </c>
      <c r="Q112" s="36">
        <f t="shared" si="35"/>
        <v>15855537</v>
      </c>
      <c r="R112" s="36">
        <f t="shared" si="35"/>
        <v>996601</v>
      </c>
      <c r="S112" s="36">
        <f t="shared" si="35"/>
        <v>13235732.902999999</v>
      </c>
      <c r="T112" s="36">
        <f t="shared" si="35"/>
        <v>13029503.598000001</v>
      </c>
      <c r="U112" s="36">
        <f t="shared" si="35"/>
        <v>12623815</v>
      </c>
      <c r="V112" s="36">
        <f t="shared" si="35"/>
        <v>267207</v>
      </c>
      <c r="W112" s="36">
        <f t="shared" si="35"/>
        <v>1762963.7189999998</v>
      </c>
      <c r="X112" s="36">
        <f t="shared" si="35"/>
        <v>11655680.233</v>
      </c>
      <c r="Y112" s="36">
        <f t="shared" si="35"/>
        <v>11781559</v>
      </c>
      <c r="Z112" s="36">
        <f t="shared" si="35"/>
        <v>11409412</v>
      </c>
      <c r="AA112" s="36">
        <f t="shared" si="35"/>
        <v>11334092.700000003</v>
      </c>
      <c r="AB112" s="36">
        <f t="shared" si="35"/>
        <v>10506131</v>
      </c>
      <c r="AC112" s="36">
        <f t="shared" si="35"/>
        <v>8247877.8</v>
      </c>
      <c r="AD112" s="36">
        <f t="shared" si="35"/>
        <v>7831183</v>
      </c>
      <c r="AE112" s="36">
        <f t="shared" si="35"/>
        <v>1440250.7999999998</v>
      </c>
      <c r="AF112" s="36">
        <f t="shared" si="35"/>
        <v>6712815.9180000005</v>
      </c>
      <c r="AG112" s="36">
        <f t="shared" si="35"/>
        <v>445857.103</v>
      </c>
      <c r="AH112" s="36">
        <f t="shared" si="35"/>
        <v>5461028.793</v>
      </c>
      <c r="AI112" s="36">
        <f t="shared" si="35"/>
        <v>4275290</v>
      </c>
      <c r="AJ112" s="36">
        <f t="shared" si="35"/>
        <v>367142</v>
      </c>
      <c r="AK112" s="36">
        <f t="shared" si="35"/>
        <v>298748</v>
      </c>
      <c r="AL112" s="36">
        <f t="shared" si="35"/>
        <v>3592096</v>
      </c>
      <c r="AM112" s="36">
        <f t="shared" si="35"/>
        <v>2711576</v>
      </c>
      <c r="AN112" s="36">
        <f t="shared" si="35"/>
        <v>2430040</v>
      </c>
      <c r="AO112" s="36">
        <f t="shared" si="35"/>
        <v>216614</v>
      </c>
      <c r="AP112" s="36">
        <f t="shared" si="35"/>
        <v>2384937.79</v>
      </c>
      <c r="AQ112" s="36">
        <f t="shared" si="35"/>
        <v>2110670</v>
      </c>
      <c r="AR112" s="36">
        <f t="shared" si="35"/>
        <v>2003247</v>
      </c>
      <c r="AS112" s="36">
        <f t="shared" si="35"/>
        <v>1410548.762</v>
      </c>
      <c r="AT112" s="36">
        <f t="shared" si="35"/>
        <v>1346720</v>
      </c>
      <c r="AU112" s="36">
        <f t="shared" si="35"/>
        <v>84637</v>
      </c>
      <c r="AV112" s="36">
        <f t="shared" si="35"/>
        <v>1309124.666</v>
      </c>
      <c r="AW112" s="36">
        <f t="shared" si="35"/>
        <v>1252986</v>
      </c>
      <c r="AX112" s="36">
        <f t="shared" si="35"/>
        <v>1104587.4</v>
      </c>
      <c r="AY112" s="36">
        <f t="shared" si="35"/>
        <v>795606</v>
      </c>
      <c r="AZ112" s="36">
        <f t="shared" si="35"/>
        <v>631434</v>
      </c>
      <c r="BA112" s="36">
        <f t="shared" si="35"/>
        <v>582127.9</v>
      </c>
      <c r="BB112" s="36">
        <f t="shared" si="35"/>
        <v>494839</v>
      </c>
      <c r="BC112" s="36">
        <f t="shared" si="35"/>
        <v>478231</v>
      </c>
      <c r="BD112" s="36">
        <f t="shared" si="35"/>
        <v>446348.6000000001</v>
      </c>
      <c r="BE112" s="36">
        <f t="shared" si="35"/>
        <v>344470</v>
      </c>
      <c r="BF112" s="36">
        <f t="shared" si="35"/>
        <v>189216</v>
      </c>
      <c r="BG112" s="36">
        <f t="shared" si="35"/>
        <v>104163.4</v>
      </c>
      <c r="BH112" s="36">
        <f t="shared" si="35"/>
        <v>59523.683</v>
      </c>
      <c r="BI112" s="36">
        <f t="shared" si="35"/>
        <v>9201.651</v>
      </c>
      <c r="BK112" s="36">
        <f>SUM(B112:BI112)</f>
        <v>635164155.3489997</v>
      </c>
      <c r="BL112" s="36"/>
      <c r="BM112" s="36">
        <f>+C112+D112+E112+AB112+AI112+AL112+AM112+AO112+AS112+AV112+AX112+AY112+BB112+BE112+BF112+BG112+BH112</f>
        <v>117717803.911</v>
      </c>
      <c r="BN112" s="36">
        <f>+B112+SUM(F112:AA112)+AC112+AD112+AE112+AF112+AG112+AH112+AJ112+AK112+AN112+AP112+AQ112+AR112+AT112+AU112+AW112+AZ112+BA112+BC112+BD112+BI112</f>
        <v>517446351.43799996</v>
      </c>
      <c r="BO112" s="36"/>
    </row>
    <row r="113" spans="17:67" ht="15" customHeight="1">
      <c r="Q113" s="33"/>
      <c r="R113" s="33"/>
      <c r="BK113" s="29"/>
      <c r="BL113" s="29"/>
      <c r="BM113" s="29"/>
      <c r="BN113" s="29"/>
      <c r="BO113" s="29"/>
    </row>
    <row r="114" spans="1:67" ht="15" customHeight="1">
      <c r="A114" s="263" t="s">
        <v>442</v>
      </c>
      <c r="Q114" s="33"/>
      <c r="R114" s="33"/>
      <c r="BK114" s="29"/>
      <c r="BL114" s="29"/>
      <c r="BM114" s="29"/>
      <c r="BN114" s="29"/>
      <c r="BO114" s="29"/>
    </row>
    <row r="115" spans="1:67" ht="15" customHeight="1">
      <c r="A115" s="246" t="s">
        <v>441</v>
      </c>
      <c r="B115" s="29">
        <v>4494.5</v>
      </c>
      <c r="C115" s="29">
        <v>18672.9</v>
      </c>
      <c r="D115" s="29">
        <v>247</v>
      </c>
      <c r="E115" s="29">
        <v>41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2137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K115" s="29">
        <f>SUM(B115:BI115)</f>
        <v>25592.4</v>
      </c>
      <c r="BL115" s="29"/>
      <c r="BM115" s="29">
        <f>+C115+D115+E115+AB115+AI115+AL115+AM115+AO115+AS115+AV115+AX115+AY115+BB115+BE115+BF115+BG115+BH115</f>
        <v>21097.9</v>
      </c>
      <c r="BN115" s="29">
        <f>+B115+SUM(F115:AA115)+AC115+AD115+AE115+AF115+AG115+AH115+AJ115+AK115+AN115+AP115+AQ115+AR115+AT115+AU115+AW115+AZ115+BA115+BC115+BD115+BI115</f>
        <v>4494.5</v>
      </c>
      <c r="BO115" s="29"/>
    </row>
    <row r="116" spans="1:67" ht="15" customHeight="1" hidden="1">
      <c r="A116" s="251"/>
      <c r="Q116" s="33"/>
      <c r="R116" s="33"/>
      <c r="BK116" s="29"/>
      <c r="BL116" s="29"/>
      <c r="BM116" s="29"/>
      <c r="BN116" s="29"/>
      <c r="BO116" s="29"/>
    </row>
    <row r="117" spans="1:67" ht="15" customHeight="1" hidden="1">
      <c r="A117" s="260" t="s">
        <v>361</v>
      </c>
      <c r="Q117" s="33"/>
      <c r="R117" s="33"/>
      <c r="BK117" s="29"/>
      <c r="BL117" s="29"/>
      <c r="BM117" s="29"/>
      <c r="BN117" s="29"/>
      <c r="BO117" s="29"/>
    </row>
    <row r="118" spans="1:67" ht="15" customHeight="1" hidden="1">
      <c r="A118" s="252" t="s">
        <v>357</v>
      </c>
      <c r="B118" s="30">
        <v>0</v>
      </c>
      <c r="C118" s="30">
        <v>0</v>
      </c>
      <c r="D118" s="30">
        <v>0</v>
      </c>
      <c r="E118" s="30">
        <v>0</v>
      </c>
      <c r="F118" s="30">
        <v>1068965.05</v>
      </c>
      <c r="G118" s="30">
        <v>13205.038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38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v>0</v>
      </c>
      <c r="AY118" s="30">
        <v>0</v>
      </c>
      <c r="AZ118" s="30">
        <v>0</v>
      </c>
      <c r="BA118" s="30">
        <v>0</v>
      </c>
      <c r="BB118" s="30">
        <v>0</v>
      </c>
      <c r="BC118" s="30">
        <v>0</v>
      </c>
      <c r="BD118" s="30">
        <v>0</v>
      </c>
      <c r="BE118" s="30">
        <v>0</v>
      </c>
      <c r="BF118" s="30">
        <v>0</v>
      </c>
      <c r="BG118" s="30">
        <v>0</v>
      </c>
      <c r="BH118" s="30">
        <v>0</v>
      </c>
      <c r="BI118" s="30">
        <v>0</v>
      </c>
      <c r="BK118" s="29">
        <f>SUM(B118:BI118)</f>
        <v>1082208.088</v>
      </c>
      <c r="BL118" s="29"/>
      <c r="BM118" s="29">
        <f>+C118+D118+E118+AB118+AI118+AL118+AM118+AO118+AS118+AV118+AX118+AY118+BB118+BE118+BF118+BG118+BH118</f>
        <v>0</v>
      </c>
      <c r="BN118" s="29">
        <f>+B118+SUM(F118:AA118)+AC118+AD118+AE118+AF118+AG118+AH118+AJ118+AK118+AN118+AP118+AQ118+AR118+AT118+AU118+AW118+AZ118+BA118+BC118+BD118+BI118</f>
        <v>1082208.088</v>
      </c>
      <c r="BO118" s="29"/>
    </row>
    <row r="119" spans="1:67" ht="15" customHeight="1" hidden="1">
      <c r="A119" s="247" t="s">
        <v>358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4868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1179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K119" s="29">
        <f>SUM(B119:BI119)</f>
        <v>6047</v>
      </c>
      <c r="BL119" s="29"/>
      <c r="BM119" s="29">
        <f>+C119+D119+E119+AB119+AI119+AL119+AM119+AO119+AS119+AV119+AX119+AY119+BB119+BE119+BF119+BG119+BH119</f>
        <v>1179</v>
      </c>
      <c r="BN119" s="29">
        <f>+B119+SUM(F119:AA119)+AC119+AD119+AE119+AF119+AG119+AH119+AJ119+AK119+AN119+AP119+AQ119+AR119+AT119+AU119+AW119+AZ119+BA119+BC119+BD119+BI119</f>
        <v>4868</v>
      </c>
      <c r="BO119" s="29"/>
    </row>
    <row r="120" spans="1:67" ht="15" customHeight="1" hidden="1">
      <c r="A120" s="247" t="s">
        <v>359</v>
      </c>
      <c r="B120" s="30">
        <v>28084</v>
      </c>
      <c r="C120" s="30">
        <v>28084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6241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  <c r="AU120" s="30">
        <v>0</v>
      </c>
      <c r="AV120" s="30">
        <v>0</v>
      </c>
      <c r="AW120" s="30">
        <v>0</v>
      </c>
      <c r="AX120" s="30">
        <v>0</v>
      </c>
      <c r="AY120" s="30">
        <v>0</v>
      </c>
      <c r="AZ120" s="30">
        <v>0</v>
      </c>
      <c r="BA120" s="30">
        <v>0</v>
      </c>
      <c r="BB120" s="30">
        <v>0</v>
      </c>
      <c r="BC120" s="30">
        <v>0</v>
      </c>
      <c r="BD120" s="30">
        <v>0</v>
      </c>
      <c r="BE120" s="30">
        <v>0</v>
      </c>
      <c r="BF120" s="30">
        <v>0</v>
      </c>
      <c r="BG120" s="30">
        <v>0</v>
      </c>
      <c r="BH120" s="30">
        <v>0</v>
      </c>
      <c r="BI120" s="30">
        <v>0</v>
      </c>
      <c r="BK120" s="29">
        <f>SUM(B120:BI120)</f>
        <v>62409</v>
      </c>
      <c r="BL120" s="29"/>
      <c r="BM120" s="29">
        <f>+C120+D120+E120+AB120+AI120+AL120+AM120+AO120+AS120+AV120+AX120+AY120+BB120+BE120+BF120+BG120+BH120</f>
        <v>34325</v>
      </c>
      <c r="BN120" s="29">
        <f>+B120+SUM(F120:AA120)+AC120+AD120+AE120+AF120+AG120+AH120+AJ120+AK120+AN120+AP120+AQ120+AR120+AT120+AU120+AW120+AZ120+BA120+BC120+BD120+BI120</f>
        <v>28084</v>
      </c>
      <c r="BO120" s="29"/>
    </row>
    <row r="121" spans="1:67" ht="15" customHeight="1" hidden="1">
      <c r="A121" s="247" t="s">
        <v>360</v>
      </c>
      <c r="B121" s="30">
        <v>1574</v>
      </c>
      <c r="C121" s="30">
        <v>281649</v>
      </c>
      <c r="D121" s="30">
        <v>820</v>
      </c>
      <c r="E121" s="30">
        <v>0</v>
      </c>
      <c r="F121" s="30">
        <v>220440</v>
      </c>
      <c r="G121" s="30">
        <v>45090.053</v>
      </c>
      <c r="H121" s="30">
        <v>19905</v>
      </c>
      <c r="I121" s="30">
        <v>3982120</v>
      </c>
      <c r="J121" s="30">
        <v>0</v>
      </c>
      <c r="K121" s="30">
        <v>31732</v>
      </c>
      <c r="L121" s="42">
        <v>3787.444</v>
      </c>
      <c r="M121" s="30">
        <v>0</v>
      </c>
      <c r="N121" s="30">
        <v>0</v>
      </c>
      <c r="O121" s="30">
        <v>0</v>
      </c>
      <c r="P121" s="30">
        <v>87759</v>
      </c>
      <c r="Q121" s="30">
        <v>11963</v>
      </c>
      <c r="R121" s="30">
        <v>0</v>
      </c>
      <c r="S121" s="30">
        <v>352.834</v>
      </c>
      <c r="T121" s="30">
        <v>19703</v>
      </c>
      <c r="U121" s="30">
        <v>19929</v>
      </c>
      <c r="V121" s="30">
        <v>9191</v>
      </c>
      <c r="W121" s="30">
        <v>0</v>
      </c>
      <c r="X121" s="30">
        <v>1961.096</v>
      </c>
      <c r="Y121" s="30">
        <v>10923</v>
      </c>
      <c r="Z121" s="30">
        <v>11173</v>
      </c>
      <c r="AA121" s="30">
        <v>3264.1</v>
      </c>
      <c r="AB121" s="30">
        <v>626</v>
      </c>
      <c r="AC121" s="30">
        <v>2379</v>
      </c>
      <c r="AD121" s="30">
        <v>10496</v>
      </c>
      <c r="AE121" s="30">
        <v>176</v>
      </c>
      <c r="AF121" s="30">
        <v>600</v>
      </c>
      <c r="AG121" s="30">
        <v>1701.791</v>
      </c>
      <c r="AH121" s="30">
        <v>13.195</v>
      </c>
      <c r="AI121" s="30">
        <v>8803</v>
      </c>
      <c r="AJ121" s="30">
        <v>679</v>
      </c>
      <c r="AK121" s="30">
        <v>364</v>
      </c>
      <c r="AL121" s="30">
        <v>42181</v>
      </c>
      <c r="AM121" s="30">
        <v>0</v>
      </c>
      <c r="AN121" s="30">
        <v>13209</v>
      </c>
      <c r="AO121" s="30">
        <v>7204</v>
      </c>
      <c r="AP121" s="30">
        <v>1436.2</v>
      </c>
      <c r="AQ121" s="30">
        <v>1877</v>
      </c>
      <c r="AR121" s="30">
        <v>0</v>
      </c>
      <c r="AS121" s="30">
        <v>2529.966</v>
      </c>
      <c r="AT121" s="30">
        <v>1299</v>
      </c>
      <c r="AU121" s="30">
        <v>1500</v>
      </c>
      <c r="AV121" s="30">
        <v>1005.295</v>
      </c>
      <c r="AW121" s="30">
        <v>2449</v>
      </c>
      <c r="AX121" s="30">
        <v>1732</v>
      </c>
      <c r="AY121" s="30"/>
      <c r="AZ121" s="30">
        <v>1018</v>
      </c>
      <c r="BA121" s="30">
        <v>2110.262</v>
      </c>
      <c r="BB121" s="30">
        <v>1296</v>
      </c>
      <c r="BC121" s="30">
        <v>581</v>
      </c>
      <c r="BD121" s="30">
        <v>0</v>
      </c>
      <c r="BE121" s="30">
        <v>797</v>
      </c>
      <c r="BF121" s="30">
        <v>2800</v>
      </c>
      <c r="BG121" s="30">
        <v>0</v>
      </c>
      <c r="BH121" s="30">
        <v>19685.389</v>
      </c>
      <c r="BI121" s="30">
        <v>340.802</v>
      </c>
      <c r="BK121" s="29">
        <f>SUM(B121:BI121)</f>
        <v>4894225.427000001</v>
      </c>
      <c r="BL121" s="29"/>
      <c r="BM121" s="29">
        <f>+C121+D121+E121+AB121+AI121+AL121+AM121+AO121+AS121+AV121+AX121+AY121+BB121+BE121+BF121+BG121+BH121</f>
        <v>371128.65</v>
      </c>
      <c r="BN121" s="29">
        <f>+B121+SUM(F121:AA121)+AC121+AD121+AE121+AF121+AG121+AH121+AJ121+AK121+AN121+AP121+AQ121+AR121+AT121+AU121+AW121+AZ121+BA121+BC121+BD121+BI121</f>
        <v>4523096.777000001</v>
      </c>
      <c r="BO121" s="29"/>
    </row>
    <row r="122" spans="1:67" ht="15" customHeight="1">
      <c r="A122" s="260" t="s">
        <v>361</v>
      </c>
      <c r="B122" s="29">
        <f aca="true" t="shared" si="36" ref="B122:AG122">SUM(B118:B121)</f>
        <v>29658</v>
      </c>
      <c r="C122" s="29">
        <f t="shared" si="36"/>
        <v>309733</v>
      </c>
      <c r="D122" s="29">
        <f t="shared" si="36"/>
        <v>820</v>
      </c>
      <c r="E122" s="29">
        <f t="shared" si="36"/>
        <v>0</v>
      </c>
      <c r="F122" s="29">
        <f t="shared" si="36"/>
        <v>1289405.05</v>
      </c>
      <c r="G122" s="29">
        <f t="shared" si="36"/>
        <v>58295.091</v>
      </c>
      <c r="H122" s="29">
        <f t="shared" si="36"/>
        <v>19905</v>
      </c>
      <c r="I122" s="29">
        <f t="shared" si="36"/>
        <v>3982120</v>
      </c>
      <c r="J122" s="29">
        <f t="shared" si="36"/>
        <v>0</v>
      </c>
      <c r="K122" s="29">
        <f t="shared" si="36"/>
        <v>31732</v>
      </c>
      <c r="L122" s="29">
        <f t="shared" si="36"/>
        <v>3787.444</v>
      </c>
      <c r="M122" s="29">
        <f t="shared" si="36"/>
        <v>0</v>
      </c>
      <c r="N122" s="29">
        <f t="shared" si="36"/>
        <v>0</v>
      </c>
      <c r="O122" s="29">
        <f t="shared" si="36"/>
        <v>0</v>
      </c>
      <c r="P122" s="29">
        <f t="shared" si="36"/>
        <v>87759</v>
      </c>
      <c r="Q122" s="29">
        <f t="shared" si="36"/>
        <v>11963</v>
      </c>
      <c r="R122" s="29">
        <f t="shared" si="36"/>
        <v>0</v>
      </c>
      <c r="S122" s="29">
        <f t="shared" si="36"/>
        <v>352.834</v>
      </c>
      <c r="T122" s="29">
        <f t="shared" si="36"/>
        <v>19703</v>
      </c>
      <c r="U122" s="29">
        <f t="shared" si="36"/>
        <v>24797</v>
      </c>
      <c r="V122" s="29">
        <f t="shared" si="36"/>
        <v>9191</v>
      </c>
      <c r="W122" s="29">
        <f t="shared" si="36"/>
        <v>0</v>
      </c>
      <c r="X122" s="29">
        <f t="shared" si="36"/>
        <v>1961.096</v>
      </c>
      <c r="Y122" s="29">
        <f t="shared" si="36"/>
        <v>10923</v>
      </c>
      <c r="Z122" s="29">
        <f t="shared" si="36"/>
        <v>11173</v>
      </c>
      <c r="AA122" s="29">
        <f t="shared" si="36"/>
        <v>3264.1</v>
      </c>
      <c r="AB122" s="29">
        <f t="shared" si="36"/>
        <v>8046</v>
      </c>
      <c r="AC122" s="29">
        <f t="shared" si="36"/>
        <v>2379</v>
      </c>
      <c r="AD122" s="29">
        <f t="shared" si="36"/>
        <v>10534</v>
      </c>
      <c r="AE122" s="29">
        <f t="shared" si="36"/>
        <v>176</v>
      </c>
      <c r="AF122" s="29">
        <f t="shared" si="36"/>
        <v>600</v>
      </c>
      <c r="AG122" s="29">
        <f t="shared" si="36"/>
        <v>1701.791</v>
      </c>
      <c r="AH122" s="29">
        <f aca="true" t="shared" si="37" ref="AH122:BI122">SUM(AH118:AH121)</f>
        <v>13.195</v>
      </c>
      <c r="AI122" s="29">
        <f t="shared" si="37"/>
        <v>8803</v>
      </c>
      <c r="AJ122" s="29">
        <f t="shared" si="37"/>
        <v>679</v>
      </c>
      <c r="AK122" s="29">
        <f t="shared" si="37"/>
        <v>364</v>
      </c>
      <c r="AL122" s="29">
        <f t="shared" si="37"/>
        <v>42181</v>
      </c>
      <c r="AM122" s="29">
        <f t="shared" si="37"/>
        <v>0</v>
      </c>
      <c r="AN122" s="29">
        <f t="shared" si="37"/>
        <v>13209</v>
      </c>
      <c r="AO122" s="29">
        <f t="shared" si="37"/>
        <v>7204</v>
      </c>
      <c r="AP122" s="29">
        <f t="shared" si="37"/>
        <v>1436.2</v>
      </c>
      <c r="AQ122" s="29">
        <f t="shared" si="37"/>
        <v>1877</v>
      </c>
      <c r="AR122" s="29">
        <f t="shared" si="37"/>
        <v>0</v>
      </c>
      <c r="AS122" s="29">
        <f t="shared" si="37"/>
        <v>2529.966</v>
      </c>
      <c r="AT122" s="29">
        <f t="shared" si="37"/>
        <v>1299</v>
      </c>
      <c r="AU122" s="29">
        <f t="shared" si="37"/>
        <v>1500</v>
      </c>
      <c r="AV122" s="29">
        <f t="shared" si="37"/>
        <v>1005.295</v>
      </c>
      <c r="AW122" s="29">
        <f t="shared" si="37"/>
        <v>2449</v>
      </c>
      <c r="AX122" s="29">
        <f t="shared" si="37"/>
        <v>1732</v>
      </c>
      <c r="AY122" s="29">
        <f t="shared" si="37"/>
        <v>0</v>
      </c>
      <c r="AZ122" s="29">
        <f t="shared" si="37"/>
        <v>1018</v>
      </c>
      <c r="BA122" s="29">
        <f t="shared" si="37"/>
        <v>2110.262</v>
      </c>
      <c r="BB122" s="29">
        <f t="shared" si="37"/>
        <v>1296</v>
      </c>
      <c r="BC122" s="29">
        <f t="shared" si="37"/>
        <v>581</v>
      </c>
      <c r="BD122" s="29">
        <f t="shared" si="37"/>
        <v>0</v>
      </c>
      <c r="BE122" s="29">
        <f t="shared" si="37"/>
        <v>797</v>
      </c>
      <c r="BF122" s="29">
        <f t="shared" si="37"/>
        <v>2800</v>
      </c>
      <c r="BG122" s="29">
        <f t="shared" si="37"/>
        <v>0</v>
      </c>
      <c r="BH122" s="29">
        <f t="shared" si="37"/>
        <v>19685.389</v>
      </c>
      <c r="BI122" s="29">
        <f t="shared" si="37"/>
        <v>340.802</v>
      </c>
      <c r="BK122" s="29">
        <f>SUM(B122:BI122)</f>
        <v>6044889.515000001</v>
      </c>
      <c r="BL122" s="29"/>
      <c r="BM122" s="29">
        <f>+C122+D122+E122+AB122+AI122+AL122+AM122+AO122+AS122+AV122+AX122+AY122+BB122+BE122+BF122+BG122+BH122</f>
        <v>406632.65</v>
      </c>
      <c r="BN122" s="29">
        <f>+B122+SUM(F122:AA122)+AC122+AD122+AE122+AF122+AG122+AH122+AJ122+AK122+AN122+AP122+AQ122+AR122+AT122+AU122+AW122+AZ122+BA122+BC122+BD122+BI122</f>
        <v>5638256.865</v>
      </c>
      <c r="BO122" s="29"/>
    </row>
    <row r="123" spans="1:67" ht="15" customHeight="1" hidden="1">
      <c r="A123" s="251"/>
      <c r="K123" s="29"/>
      <c r="Q123" s="33"/>
      <c r="R123" s="33"/>
      <c r="W123" s="30"/>
      <c r="X123" s="42">
        <v>0</v>
      </c>
      <c r="BK123" s="29"/>
      <c r="BL123" s="29"/>
      <c r="BM123" s="29"/>
      <c r="BN123" s="29"/>
      <c r="BO123" s="29"/>
    </row>
    <row r="124" spans="1:67" ht="15" customHeight="1">
      <c r="A124" s="257" t="s">
        <v>362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4664</v>
      </c>
      <c r="I124" s="29">
        <v>12344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30">
        <v>0</v>
      </c>
      <c r="X124" s="29">
        <v>0</v>
      </c>
      <c r="Y124" s="29">
        <v>0</v>
      </c>
      <c r="Z124" s="29">
        <v>10275</v>
      </c>
      <c r="AA124" s="29">
        <v>0</v>
      </c>
      <c r="AB124" s="29">
        <v>0</v>
      </c>
      <c r="AC124" s="29">
        <v>0</v>
      </c>
      <c r="AD124" s="29">
        <v>449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7651</v>
      </c>
      <c r="BD124" s="29">
        <v>0</v>
      </c>
      <c r="BE124" s="29">
        <v>0</v>
      </c>
      <c r="BF124" s="29">
        <v>0</v>
      </c>
      <c r="BG124" s="29">
        <v>0</v>
      </c>
      <c r="BH124" s="29">
        <v>0</v>
      </c>
      <c r="BI124" s="29">
        <v>0</v>
      </c>
      <c r="BK124" s="29">
        <f>SUM(B124:BI124)</f>
        <v>35383</v>
      </c>
      <c r="BL124" s="29"/>
      <c r="BM124" s="29">
        <f>+C124+D124+E124+AB124+AI124+AL124+AM124+AO124+AS124+AV124+AX124+AY124+BB124+BE124+BF124+BG124+BH124</f>
        <v>0</v>
      </c>
      <c r="BN124" s="29">
        <f>+B124+SUM(F124:AA124)+AC124+AD124+AE124+AF124+AG124+AH124+AJ124+AK124+AN124+AP124+AQ124+AR124+AT124+AU124+AW124+AZ124+BA124+BC124+BD124+BI124</f>
        <v>35383</v>
      </c>
      <c r="BO124" s="29"/>
    </row>
    <row r="125" spans="1:67" ht="15" customHeight="1" hidden="1">
      <c r="A125" s="251"/>
      <c r="K125" s="29"/>
      <c r="Q125" s="33"/>
      <c r="R125" s="33"/>
      <c r="W125" s="30"/>
      <c r="X125" s="42">
        <v>0</v>
      </c>
      <c r="BK125" s="29"/>
      <c r="BL125" s="29"/>
      <c r="BM125" s="29"/>
      <c r="BN125" s="29"/>
      <c r="BO125" s="29"/>
    </row>
    <row r="126" spans="1:67" s="105" customFormat="1" ht="15" customHeight="1">
      <c r="A126" s="256" t="s">
        <v>440</v>
      </c>
      <c r="B126" s="36">
        <f aca="true" t="shared" si="38" ref="B126:AG126">+B115+B122+B124</f>
        <v>34152.5</v>
      </c>
      <c r="C126" s="36">
        <f t="shared" si="38"/>
        <v>328405.9</v>
      </c>
      <c r="D126" s="36">
        <f t="shared" si="38"/>
        <v>1067</v>
      </c>
      <c r="E126" s="36">
        <f t="shared" si="38"/>
        <v>41</v>
      </c>
      <c r="F126" s="36">
        <f t="shared" si="38"/>
        <v>1289405.05</v>
      </c>
      <c r="G126" s="36">
        <f t="shared" si="38"/>
        <v>58295.091</v>
      </c>
      <c r="H126" s="36">
        <f t="shared" si="38"/>
        <v>24569</v>
      </c>
      <c r="I126" s="36">
        <f t="shared" si="38"/>
        <v>3994464</v>
      </c>
      <c r="J126" s="36">
        <f t="shared" si="38"/>
        <v>0</v>
      </c>
      <c r="K126" s="36">
        <f t="shared" si="38"/>
        <v>31732</v>
      </c>
      <c r="L126" s="36">
        <f t="shared" si="38"/>
        <v>3787.444</v>
      </c>
      <c r="M126" s="36">
        <f t="shared" si="38"/>
        <v>0</v>
      </c>
      <c r="N126" s="36">
        <f t="shared" si="38"/>
        <v>0</v>
      </c>
      <c r="O126" s="36">
        <f t="shared" si="38"/>
        <v>0</v>
      </c>
      <c r="P126" s="36">
        <f t="shared" si="38"/>
        <v>87759</v>
      </c>
      <c r="Q126" s="36">
        <f t="shared" si="38"/>
        <v>11963</v>
      </c>
      <c r="R126" s="36">
        <f t="shared" si="38"/>
        <v>0</v>
      </c>
      <c r="S126" s="36">
        <f t="shared" si="38"/>
        <v>352.834</v>
      </c>
      <c r="T126" s="36">
        <f t="shared" si="38"/>
        <v>19703</v>
      </c>
      <c r="U126" s="36">
        <f t="shared" si="38"/>
        <v>24797</v>
      </c>
      <c r="V126" s="36">
        <f t="shared" si="38"/>
        <v>9191</v>
      </c>
      <c r="W126" s="36">
        <f t="shared" si="38"/>
        <v>0</v>
      </c>
      <c r="X126" s="36">
        <f t="shared" si="38"/>
        <v>1961.096</v>
      </c>
      <c r="Y126" s="36">
        <f t="shared" si="38"/>
        <v>10923</v>
      </c>
      <c r="Z126" s="36">
        <f t="shared" si="38"/>
        <v>21448</v>
      </c>
      <c r="AA126" s="36">
        <f t="shared" si="38"/>
        <v>3264.1</v>
      </c>
      <c r="AB126" s="36">
        <f t="shared" si="38"/>
        <v>10183</v>
      </c>
      <c r="AC126" s="36">
        <f t="shared" si="38"/>
        <v>2379</v>
      </c>
      <c r="AD126" s="36">
        <f t="shared" si="38"/>
        <v>10983</v>
      </c>
      <c r="AE126" s="36">
        <f t="shared" si="38"/>
        <v>176</v>
      </c>
      <c r="AF126" s="36">
        <f t="shared" si="38"/>
        <v>600</v>
      </c>
      <c r="AG126" s="36">
        <f t="shared" si="38"/>
        <v>1701.791</v>
      </c>
      <c r="AH126" s="36">
        <f aca="true" t="shared" si="39" ref="AH126:BI126">+AH115+AH122+AH124</f>
        <v>13.195</v>
      </c>
      <c r="AI126" s="36">
        <f t="shared" si="39"/>
        <v>8803</v>
      </c>
      <c r="AJ126" s="36">
        <f t="shared" si="39"/>
        <v>679</v>
      </c>
      <c r="AK126" s="36">
        <f t="shared" si="39"/>
        <v>364</v>
      </c>
      <c r="AL126" s="36">
        <f t="shared" si="39"/>
        <v>42181</v>
      </c>
      <c r="AM126" s="36">
        <f t="shared" si="39"/>
        <v>0</v>
      </c>
      <c r="AN126" s="36">
        <f t="shared" si="39"/>
        <v>13209</v>
      </c>
      <c r="AO126" s="36">
        <f t="shared" si="39"/>
        <v>7204</v>
      </c>
      <c r="AP126" s="36">
        <f t="shared" si="39"/>
        <v>1436.2</v>
      </c>
      <c r="AQ126" s="36">
        <f t="shared" si="39"/>
        <v>1877</v>
      </c>
      <c r="AR126" s="36">
        <f t="shared" si="39"/>
        <v>0</v>
      </c>
      <c r="AS126" s="36">
        <f t="shared" si="39"/>
        <v>2529.966</v>
      </c>
      <c r="AT126" s="36">
        <f t="shared" si="39"/>
        <v>1299</v>
      </c>
      <c r="AU126" s="36">
        <f t="shared" si="39"/>
        <v>1500</v>
      </c>
      <c r="AV126" s="36">
        <f t="shared" si="39"/>
        <v>1005.295</v>
      </c>
      <c r="AW126" s="36">
        <f t="shared" si="39"/>
        <v>2449</v>
      </c>
      <c r="AX126" s="36">
        <f t="shared" si="39"/>
        <v>1732</v>
      </c>
      <c r="AY126" s="36">
        <f t="shared" si="39"/>
        <v>0</v>
      </c>
      <c r="AZ126" s="36">
        <f t="shared" si="39"/>
        <v>1018</v>
      </c>
      <c r="BA126" s="36">
        <f t="shared" si="39"/>
        <v>2110.262</v>
      </c>
      <c r="BB126" s="36">
        <f t="shared" si="39"/>
        <v>1296</v>
      </c>
      <c r="BC126" s="36">
        <f t="shared" si="39"/>
        <v>8232</v>
      </c>
      <c r="BD126" s="36">
        <f t="shared" si="39"/>
        <v>0</v>
      </c>
      <c r="BE126" s="36">
        <f t="shared" si="39"/>
        <v>797</v>
      </c>
      <c r="BF126" s="36">
        <f t="shared" si="39"/>
        <v>2800</v>
      </c>
      <c r="BG126" s="36">
        <f t="shared" si="39"/>
        <v>0</v>
      </c>
      <c r="BH126" s="36">
        <f t="shared" si="39"/>
        <v>19685.389</v>
      </c>
      <c r="BI126" s="36">
        <f t="shared" si="39"/>
        <v>340.802</v>
      </c>
      <c r="BK126" s="36">
        <f>SUM(B126:BI126)</f>
        <v>6105864.915000001</v>
      </c>
      <c r="BL126" s="36"/>
      <c r="BM126" s="36">
        <f>+C126+D126+E126+AB126+AI126+AL126+AM126+AO126+AS126+AV126+AX126+AY126+BB126+BE126+BF126+BG126+BH126</f>
        <v>427730.55000000005</v>
      </c>
      <c r="BN126" s="36">
        <f>+B126+SUM(F126:AA126)+AC126+AD126+AE126+AF126+AG126+AH126+AJ126+AK126+AN126+AP126+AQ126+AR126+AT126+AU126+AW126+AZ126+BA126+BC126+BD126+BI126</f>
        <v>5678134.365</v>
      </c>
      <c r="BO126" s="36"/>
    </row>
    <row r="127" spans="1:67" ht="15" customHeight="1">
      <c r="A127" s="246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K127" s="29"/>
      <c r="BL127" s="29"/>
      <c r="BM127" s="29"/>
      <c r="BN127" s="29"/>
      <c r="BO127" s="29"/>
    </row>
    <row r="128" spans="1:67" s="105" customFormat="1" ht="15" customHeight="1">
      <c r="A128" s="256" t="s">
        <v>439</v>
      </c>
      <c r="B128" s="36">
        <f aca="true" t="shared" si="40" ref="B128:AG128">+B112-B126</f>
        <v>24388715.5</v>
      </c>
      <c r="C128" s="36">
        <f t="shared" si="40"/>
        <v>90073707.1</v>
      </c>
      <c r="D128" s="36">
        <f t="shared" si="40"/>
        <v>170108</v>
      </c>
      <c r="E128" s="36">
        <f t="shared" si="40"/>
        <v>30689</v>
      </c>
      <c r="F128" s="36">
        <f t="shared" si="40"/>
        <v>100888432.95</v>
      </c>
      <c r="G128" s="36">
        <f t="shared" si="40"/>
        <v>53406842.678</v>
      </c>
      <c r="H128" s="36">
        <f t="shared" si="40"/>
        <v>46993999</v>
      </c>
      <c r="I128" s="36">
        <f t="shared" si="40"/>
        <v>44937138</v>
      </c>
      <c r="J128" s="36">
        <f t="shared" si="40"/>
        <v>549756</v>
      </c>
      <c r="K128" s="36">
        <f t="shared" si="40"/>
        <v>27937021</v>
      </c>
      <c r="L128" s="36">
        <f t="shared" si="40"/>
        <v>23866860.717</v>
      </c>
      <c r="M128" s="36">
        <f t="shared" si="40"/>
        <v>16187738</v>
      </c>
      <c r="N128" s="36">
        <f t="shared" si="40"/>
        <v>3601324</v>
      </c>
      <c r="O128" s="36">
        <f t="shared" si="40"/>
        <v>1876502</v>
      </c>
      <c r="P128" s="36">
        <f t="shared" si="40"/>
        <v>18770269</v>
      </c>
      <c r="Q128" s="36">
        <f t="shared" si="40"/>
        <v>15843574</v>
      </c>
      <c r="R128" s="36">
        <f t="shared" si="40"/>
        <v>996601</v>
      </c>
      <c r="S128" s="36">
        <f t="shared" si="40"/>
        <v>13235380.068999998</v>
      </c>
      <c r="T128" s="36">
        <f t="shared" si="40"/>
        <v>13009800.598000001</v>
      </c>
      <c r="U128" s="36">
        <f t="shared" si="40"/>
        <v>12599018</v>
      </c>
      <c r="V128" s="36">
        <f t="shared" si="40"/>
        <v>258016</v>
      </c>
      <c r="W128" s="36">
        <f t="shared" si="40"/>
        <v>1762963.7189999998</v>
      </c>
      <c r="X128" s="36">
        <f t="shared" si="40"/>
        <v>11653719.136999998</v>
      </c>
      <c r="Y128" s="36">
        <f t="shared" si="40"/>
        <v>11770636</v>
      </c>
      <c r="Z128" s="36">
        <f t="shared" si="40"/>
        <v>11387964</v>
      </c>
      <c r="AA128" s="36">
        <f t="shared" si="40"/>
        <v>11330828.600000003</v>
      </c>
      <c r="AB128" s="36">
        <f t="shared" si="40"/>
        <v>10495948</v>
      </c>
      <c r="AC128" s="36">
        <f t="shared" si="40"/>
        <v>8245498.8</v>
      </c>
      <c r="AD128" s="36">
        <f t="shared" si="40"/>
        <v>7820200</v>
      </c>
      <c r="AE128" s="36">
        <f t="shared" si="40"/>
        <v>1440074.7999999998</v>
      </c>
      <c r="AF128" s="36">
        <f t="shared" si="40"/>
        <v>6712215.9180000005</v>
      </c>
      <c r="AG128" s="36">
        <f t="shared" si="40"/>
        <v>444155.312</v>
      </c>
      <c r="AH128" s="36">
        <f aca="true" t="shared" si="41" ref="AH128:BI128">+AH112-AH126</f>
        <v>5461015.597999999</v>
      </c>
      <c r="AI128" s="36">
        <f t="shared" si="41"/>
        <v>4266487</v>
      </c>
      <c r="AJ128" s="36">
        <f t="shared" si="41"/>
        <v>366463</v>
      </c>
      <c r="AK128" s="36">
        <f t="shared" si="41"/>
        <v>298384</v>
      </c>
      <c r="AL128" s="36">
        <f t="shared" si="41"/>
        <v>3549915</v>
      </c>
      <c r="AM128" s="36">
        <f t="shared" si="41"/>
        <v>2711576</v>
      </c>
      <c r="AN128" s="36">
        <f t="shared" si="41"/>
        <v>2416831</v>
      </c>
      <c r="AO128" s="36">
        <f t="shared" si="41"/>
        <v>209410</v>
      </c>
      <c r="AP128" s="36">
        <f t="shared" si="41"/>
        <v>2383501.59</v>
      </c>
      <c r="AQ128" s="36">
        <f t="shared" si="41"/>
        <v>2108793</v>
      </c>
      <c r="AR128" s="36">
        <f t="shared" si="41"/>
        <v>2003247</v>
      </c>
      <c r="AS128" s="36">
        <f t="shared" si="41"/>
        <v>1408018.796</v>
      </c>
      <c r="AT128" s="36">
        <f t="shared" si="41"/>
        <v>1345421</v>
      </c>
      <c r="AU128" s="36">
        <f t="shared" si="41"/>
        <v>83137</v>
      </c>
      <c r="AV128" s="36">
        <f t="shared" si="41"/>
        <v>1308119.371</v>
      </c>
      <c r="AW128" s="36">
        <f t="shared" si="41"/>
        <v>1250537</v>
      </c>
      <c r="AX128" s="36">
        <f t="shared" si="41"/>
        <v>1102855.4</v>
      </c>
      <c r="AY128" s="36">
        <f t="shared" si="41"/>
        <v>795606</v>
      </c>
      <c r="AZ128" s="36">
        <f t="shared" si="41"/>
        <v>630416</v>
      </c>
      <c r="BA128" s="36">
        <f t="shared" si="41"/>
        <v>580017.638</v>
      </c>
      <c r="BB128" s="36">
        <f t="shared" si="41"/>
        <v>493543</v>
      </c>
      <c r="BC128" s="36">
        <f t="shared" si="41"/>
        <v>469999</v>
      </c>
      <c r="BD128" s="36">
        <f t="shared" si="41"/>
        <v>446348.6000000001</v>
      </c>
      <c r="BE128" s="36">
        <f t="shared" si="41"/>
        <v>343673</v>
      </c>
      <c r="BF128" s="36">
        <f t="shared" si="41"/>
        <v>186416</v>
      </c>
      <c r="BG128" s="36">
        <f t="shared" si="41"/>
        <v>104163.4</v>
      </c>
      <c r="BH128" s="36">
        <f t="shared" si="41"/>
        <v>39838.293999999994</v>
      </c>
      <c r="BI128" s="36">
        <f t="shared" si="41"/>
        <v>8860.849</v>
      </c>
      <c r="BJ128" s="36"/>
      <c r="BK128" s="36">
        <f>SUM(B128:BI128)</f>
        <v>629058290.4340001</v>
      </c>
      <c r="BL128" s="36"/>
      <c r="BM128" s="36">
        <f>+C128+D128+E128+AB128+AI128+AL128+AM128+AO128+AS128+AV128+AX128+AY128+BB128+BE128+BF128+BG128+BH128</f>
        <v>117290073.36100002</v>
      </c>
      <c r="BN128" s="36">
        <f>+B128+SUM(F128:AA128)+AC128+AD128+AE128+AF128+AG128+AH128+AJ128+AK128+AN128+AP128+AQ128+AR128+AT128+AU128+AW128+AZ128+BA128+BC128+BD128+BI128</f>
        <v>511768217.073</v>
      </c>
      <c r="BO128" s="36"/>
    </row>
    <row r="129" spans="2:67" ht="15" customHeight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</row>
    <row r="131" ht="15" customHeight="1">
      <c r="A131" s="226" t="s">
        <v>438</v>
      </c>
    </row>
    <row r="132" spans="1:67" ht="15" customHeight="1" hidden="1">
      <c r="A132" s="246" t="s">
        <v>408</v>
      </c>
      <c r="B132" s="107"/>
      <c r="C132" s="107"/>
      <c r="D132" s="107"/>
      <c r="E132" s="107"/>
      <c r="F132" s="29"/>
      <c r="G132" s="29"/>
      <c r="H132" s="107"/>
      <c r="I132" s="107"/>
      <c r="K132" s="29"/>
      <c r="L132" s="107"/>
      <c r="M132" s="107"/>
      <c r="N132" s="107"/>
      <c r="P132" s="29"/>
      <c r="S132" s="29"/>
      <c r="T132" s="29"/>
      <c r="Y132" s="29"/>
      <c r="Z132" s="29"/>
      <c r="AB132" s="29"/>
      <c r="AC132" s="29"/>
      <c r="AD132" s="29"/>
      <c r="AF132" s="29"/>
      <c r="AG132" s="107"/>
      <c r="AH132" s="29"/>
      <c r="AI132" s="107"/>
      <c r="AJ132" s="107"/>
      <c r="AK132" s="29"/>
      <c r="AL132" s="29"/>
      <c r="AM132" s="29"/>
      <c r="AN132" s="107"/>
      <c r="AO132" s="107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K132" s="29"/>
      <c r="BL132" s="29"/>
      <c r="BM132" s="29"/>
      <c r="BN132" s="29"/>
      <c r="BO132" s="29"/>
    </row>
    <row r="133" spans="1:67" ht="15" customHeight="1" hidden="1">
      <c r="A133" s="247" t="s">
        <v>409</v>
      </c>
      <c r="B133" s="30">
        <v>6334243</v>
      </c>
      <c r="C133" s="30">
        <v>16558593</v>
      </c>
      <c r="D133" s="30">
        <v>233017</v>
      </c>
      <c r="E133" s="30">
        <v>37673</v>
      </c>
      <c r="F133" s="30">
        <v>6891760</v>
      </c>
      <c r="G133" s="30">
        <v>2861540.251</v>
      </c>
      <c r="H133" s="30">
        <v>2162986</v>
      </c>
      <c r="I133" s="30">
        <v>2395515</v>
      </c>
      <c r="J133" s="30">
        <v>228543</v>
      </c>
      <c r="K133" s="30">
        <v>1504158</v>
      </c>
      <c r="L133" s="30">
        <v>1331663.723</v>
      </c>
      <c r="M133" s="30"/>
      <c r="N133" s="30"/>
      <c r="O133" s="30">
        <v>413131</v>
      </c>
      <c r="P133" s="30">
        <v>1383103</v>
      </c>
      <c r="Q133" s="132">
        <v>343943</v>
      </c>
      <c r="R133" s="132">
        <v>282510</v>
      </c>
      <c r="S133" s="30">
        <v>926513.866</v>
      </c>
      <c r="T133" s="30">
        <v>755804</v>
      </c>
      <c r="U133" s="30">
        <v>529613</v>
      </c>
      <c r="V133" s="30">
        <v>0</v>
      </c>
      <c r="W133" s="29">
        <v>511064.931</v>
      </c>
      <c r="X133" s="30">
        <v>1077053.651</v>
      </c>
      <c r="Y133" s="30">
        <v>800823</v>
      </c>
      <c r="Z133" s="30">
        <v>406213</v>
      </c>
      <c r="AA133" s="30">
        <v>513891.5</v>
      </c>
      <c r="AB133" s="30">
        <v>1579555</v>
      </c>
      <c r="AC133" s="30">
        <v>459010</v>
      </c>
      <c r="AD133" s="30">
        <v>413153</v>
      </c>
      <c r="AE133" s="30">
        <v>268280</v>
      </c>
      <c r="AF133" s="30">
        <v>114182.541</v>
      </c>
      <c r="AG133" s="30">
        <v>167445.351</v>
      </c>
      <c r="AH133" s="30">
        <v>323142.258</v>
      </c>
      <c r="AI133" s="30">
        <f>1554730</f>
        <v>1554730</v>
      </c>
      <c r="AJ133" s="30">
        <f>111945</f>
        <v>111945</v>
      </c>
      <c r="AK133" s="30">
        <v>113106</v>
      </c>
      <c r="AL133" s="30">
        <v>958780</v>
      </c>
      <c r="AM133" s="30">
        <v>232126</v>
      </c>
      <c r="AN133" s="30">
        <v>-643</v>
      </c>
      <c r="AO133" s="30">
        <v>0</v>
      </c>
      <c r="AP133" s="30">
        <v>107674.8</v>
      </c>
      <c r="AQ133" s="30">
        <v>0</v>
      </c>
      <c r="AR133" s="30">
        <v>79814</v>
      </c>
      <c r="AS133" s="30">
        <v>83794.582</v>
      </c>
      <c r="AT133" s="30">
        <v>0</v>
      </c>
      <c r="AU133" s="30">
        <v>29153</v>
      </c>
      <c r="AV133" s="30">
        <v>66880.954</v>
      </c>
      <c r="AW133" s="30">
        <v>11678</v>
      </c>
      <c r="AX133" s="30">
        <v>125349</v>
      </c>
      <c r="AY133" s="30">
        <v>18482</v>
      </c>
      <c r="AZ133" s="30">
        <v>0</v>
      </c>
      <c r="BA133" s="30">
        <v>0</v>
      </c>
      <c r="BB133" s="30">
        <v>28696</v>
      </c>
      <c r="BC133" s="30">
        <v>1494</v>
      </c>
      <c r="BD133" s="30">
        <v>0</v>
      </c>
      <c r="BE133" s="30">
        <v>26815</v>
      </c>
      <c r="BF133" s="30">
        <v>19273</v>
      </c>
      <c r="BG133" s="30">
        <v>0</v>
      </c>
      <c r="BH133" s="30">
        <v>28321.09</v>
      </c>
      <c r="BI133" s="30">
        <v>0</v>
      </c>
      <c r="BK133" s="29">
        <f aca="true" t="shared" si="42" ref="BK133:BK169">SUM(B133:BI133)</f>
        <v>55405593.49800001</v>
      </c>
      <c r="BL133" s="29"/>
      <c r="BM133" s="29">
        <f aca="true" t="shared" si="43" ref="BM133:BM169">+C133+D133+E133+AB133+AI133+AL133+AM133+AO133+AS133+AV133+AX133+AY133+BB133+BE133+BF133+BG133+BH133</f>
        <v>21552085.626</v>
      </c>
      <c r="BN133" s="29">
        <f aca="true" t="shared" si="44" ref="BN133:BN169">+B133+SUM(F133:AA133)+AC133+AD133+AE133+AF133+AG133+AH133+AJ133+AK133+AN133+AP133+AQ133+AR133+AT133+AU133+AW133+AZ133+BA133+BC133+BD133+BI133</f>
        <v>33853507.872</v>
      </c>
      <c r="BO133" s="30"/>
    </row>
    <row r="134" spans="1:67" ht="15" customHeight="1" hidden="1">
      <c r="A134" s="247" t="s">
        <v>410</v>
      </c>
      <c r="B134" s="30">
        <v>820295</v>
      </c>
      <c r="C134" s="30">
        <v>4563674</v>
      </c>
      <c r="D134" s="30">
        <v>12976</v>
      </c>
      <c r="E134" s="30">
        <v>2667</v>
      </c>
      <c r="F134" s="30">
        <v>5491893</v>
      </c>
      <c r="G134" s="30">
        <v>2089960.881</v>
      </c>
      <c r="H134" s="30">
        <v>1912375</v>
      </c>
      <c r="I134" s="30">
        <v>1913602</v>
      </c>
      <c r="J134" s="30">
        <v>-32360</v>
      </c>
      <c r="K134" s="30">
        <v>-87109</v>
      </c>
      <c r="L134" s="30">
        <v>968500.793</v>
      </c>
      <c r="M134" s="30"/>
      <c r="N134" s="30"/>
      <c r="O134" s="30">
        <v>23450</v>
      </c>
      <c r="P134" s="30">
        <v>323851</v>
      </c>
      <c r="Q134" s="132">
        <v>954363</v>
      </c>
      <c r="R134" s="132">
        <v>51341</v>
      </c>
      <c r="S134" s="30">
        <v>75478.198</v>
      </c>
      <c r="T134" s="30">
        <v>405058</v>
      </c>
      <c r="U134" s="30">
        <v>565182</v>
      </c>
      <c r="V134" s="30">
        <v>3840</v>
      </c>
      <c r="W134" s="29">
        <v>30324.501</v>
      </c>
      <c r="X134" s="30">
        <v>453277.427</v>
      </c>
      <c r="Y134" s="30">
        <v>294858</v>
      </c>
      <c r="Z134" s="30">
        <v>600955</v>
      </c>
      <c r="AA134" s="30">
        <v>221136.1</v>
      </c>
      <c r="AB134" s="30">
        <v>470326</v>
      </c>
      <c r="AC134" s="30">
        <v>300394</v>
      </c>
      <c r="AD134" s="30">
        <v>260040</v>
      </c>
      <c r="AE134" s="30">
        <v>30258</v>
      </c>
      <c r="AF134" s="30">
        <v>456066.807</v>
      </c>
      <c r="AG134" s="30">
        <v>2575.105</v>
      </c>
      <c r="AH134" s="30">
        <v>148795.808</v>
      </c>
      <c r="AI134" s="30">
        <f>102221</f>
        <v>102221</v>
      </c>
      <c r="AJ134" s="30">
        <f>3783</f>
        <v>3783</v>
      </c>
      <c r="AK134" s="30">
        <v>5652</v>
      </c>
      <c r="AL134" s="30">
        <v>175404</v>
      </c>
      <c r="AM134" s="30">
        <v>32814</v>
      </c>
      <c r="AN134" s="30">
        <v>11422</v>
      </c>
      <c r="AO134" s="30">
        <v>454</v>
      </c>
      <c r="AP134" s="30">
        <v>142768.3</v>
      </c>
      <c r="AQ134" s="30">
        <v>66824</v>
      </c>
      <c r="AR134" s="30">
        <v>66110</v>
      </c>
      <c r="AS134" s="30">
        <v>61848.7</v>
      </c>
      <c r="AT134" s="30">
        <v>17500</v>
      </c>
      <c r="AU134" s="30">
        <v>274</v>
      </c>
      <c r="AV134" s="30">
        <v>55337.645</v>
      </c>
      <c r="AW134" s="30">
        <v>27531</v>
      </c>
      <c r="AX134" s="30">
        <v>63529</v>
      </c>
      <c r="AY134" s="30">
        <v>42869</v>
      </c>
      <c r="AZ134" s="30">
        <v>26729</v>
      </c>
      <c r="BA134" s="29">
        <v>7450.404</v>
      </c>
      <c r="BB134" s="30">
        <v>36458</v>
      </c>
      <c r="BC134" s="30">
        <v>15018</v>
      </c>
      <c r="BD134" s="30">
        <v>31019</v>
      </c>
      <c r="BE134" s="30">
        <v>15549</v>
      </c>
      <c r="BF134" s="30">
        <v>7838</v>
      </c>
      <c r="BG134" s="30">
        <v>4574</v>
      </c>
      <c r="BH134" s="30">
        <v>3701.656</v>
      </c>
      <c r="BI134" s="30">
        <v>130.579</v>
      </c>
      <c r="BK134" s="29">
        <f t="shared" si="42"/>
        <v>24352853.904</v>
      </c>
      <c r="BL134" s="29"/>
      <c r="BM134" s="29">
        <f t="shared" si="43"/>
        <v>5652241.001</v>
      </c>
      <c r="BN134" s="29">
        <f t="shared" si="44"/>
        <v>18700612.902999997</v>
      </c>
      <c r="BO134" s="30"/>
    </row>
    <row r="135" spans="1:67" ht="15" customHeight="1" hidden="1">
      <c r="A135" s="247" t="s">
        <v>411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  <c r="G135" s="30">
        <v>23193.414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/>
      <c r="N135" s="30"/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29">
        <v>0</v>
      </c>
      <c r="X135" s="30">
        <v>2106.704</v>
      </c>
      <c r="Y135" s="30">
        <v>4807</v>
      </c>
      <c r="Z135" s="30">
        <v>72655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1075.2</v>
      </c>
      <c r="AQ135" s="30">
        <v>0</v>
      </c>
      <c r="AR135" s="30">
        <v>832</v>
      </c>
      <c r="AS135" s="30">
        <v>6296.691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/>
      <c r="AZ135" s="30">
        <v>0</v>
      </c>
      <c r="BA135" s="29">
        <v>0</v>
      </c>
      <c r="BB135" s="29">
        <v>0</v>
      </c>
      <c r="BC135" s="29">
        <v>0</v>
      </c>
      <c r="BD135" s="29">
        <v>0</v>
      </c>
      <c r="BE135" s="29">
        <v>0</v>
      </c>
      <c r="BF135" s="30">
        <v>0</v>
      </c>
      <c r="BG135" s="30">
        <v>129463</v>
      </c>
      <c r="BH135" s="30">
        <v>0</v>
      </c>
      <c r="BI135" s="30">
        <v>0</v>
      </c>
      <c r="BK135" s="29">
        <f t="shared" si="42"/>
        <v>240429.00900000002</v>
      </c>
      <c r="BL135" s="29"/>
      <c r="BM135" s="29">
        <f t="shared" si="43"/>
        <v>135759.691</v>
      </c>
      <c r="BN135" s="29">
        <f t="shared" si="44"/>
        <v>104669.318</v>
      </c>
      <c r="BO135" s="30"/>
    </row>
    <row r="136" spans="1:67" ht="15" customHeight="1" hidden="1">
      <c r="A136" s="247" t="s">
        <v>412</v>
      </c>
      <c r="B136" s="30">
        <v>912494</v>
      </c>
      <c r="C136" s="30">
        <v>2871198</v>
      </c>
      <c r="D136" s="30">
        <v>3120</v>
      </c>
      <c r="E136" s="30">
        <v>0</v>
      </c>
      <c r="F136" s="30">
        <v>3837129</v>
      </c>
      <c r="G136" s="30">
        <v>3141416.703</v>
      </c>
      <c r="H136" s="30">
        <v>2586187</v>
      </c>
      <c r="I136" s="30">
        <v>3362295</v>
      </c>
      <c r="J136" s="30">
        <v>0</v>
      </c>
      <c r="K136" s="30">
        <v>1158067</v>
      </c>
      <c r="L136" s="30">
        <v>1129522.726</v>
      </c>
      <c r="M136" s="30"/>
      <c r="N136" s="30"/>
      <c r="O136" s="30">
        <v>34088</v>
      </c>
      <c r="P136" s="30">
        <v>1069939</v>
      </c>
      <c r="Q136" s="132">
        <v>920640</v>
      </c>
      <c r="R136" s="30">
        <v>0</v>
      </c>
      <c r="S136" s="30">
        <v>803853.434</v>
      </c>
      <c r="T136" s="30">
        <v>430981</v>
      </c>
      <c r="U136" s="30">
        <v>633205</v>
      </c>
      <c r="V136" s="30">
        <v>4476</v>
      </c>
      <c r="W136" s="29">
        <v>28171.996</v>
      </c>
      <c r="X136" s="30">
        <v>310384.395</v>
      </c>
      <c r="Y136" s="30">
        <v>758165</v>
      </c>
      <c r="Z136" s="30">
        <v>697835</v>
      </c>
      <c r="AA136" s="30">
        <v>478881.7</v>
      </c>
      <c r="AB136" s="30">
        <v>559688</v>
      </c>
      <c r="AC136" s="30">
        <v>540928</v>
      </c>
      <c r="AD136" s="30">
        <v>150116</v>
      </c>
      <c r="AE136" s="30">
        <v>25665</v>
      </c>
      <c r="AF136" s="30">
        <v>279358.073</v>
      </c>
      <c r="AG136" s="30">
        <v>0</v>
      </c>
      <c r="AH136" s="30">
        <v>246196.611</v>
      </c>
      <c r="AI136" s="30">
        <f>109586</f>
        <v>109586</v>
      </c>
      <c r="AJ136" s="30">
        <f>9427</f>
        <v>9427</v>
      </c>
      <c r="AK136" s="30">
        <v>2587</v>
      </c>
      <c r="AL136" s="30">
        <v>284040</v>
      </c>
      <c r="AM136" s="30">
        <v>22985</v>
      </c>
      <c r="AN136" s="30">
        <v>231687</v>
      </c>
      <c r="AO136" s="30">
        <v>18884</v>
      </c>
      <c r="AP136" s="30">
        <v>54514.6</v>
      </c>
      <c r="AQ136" s="30">
        <v>58874</v>
      </c>
      <c r="AR136" s="30">
        <v>241689</v>
      </c>
      <c r="AS136" s="30">
        <v>89060.048</v>
      </c>
      <c r="AT136" s="30">
        <v>82511</v>
      </c>
      <c r="AU136" s="30">
        <v>0</v>
      </c>
      <c r="AV136" s="30">
        <v>94833.161</v>
      </c>
      <c r="AW136" s="30">
        <v>56183</v>
      </c>
      <c r="AX136" s="30">
        <v>61737</v>
      </c>
      <c r="AY136" s="30">
        <v>34143</v>
      </c>
      <c r="AZ136" s="30">
        <v>24842</v>
      </c>
      <c r="BA136" s="29">
        <v>66913.387</v>
      </c>
      <c r="BB136" s="30">
        <v>19382</v>
      </c>
      <c r="BC136" s="30">
        <v>11713</v>
      </c>
      <c r="BD136" s="30">
        <v>40578</v>
      </c>
      <c r="BE136" s="30">
        <v>25851</v>
      </c>
      <c r="BF136" s="30">
        <v>10633</v>
      </c>
      <c r="BG136" s="30">
        <v>11872</v>
      </c>
      <c r="BH136" s="30">
        <v>3349.499</v>
      </c>
      <c r="BI136" s="30"/>
      <c r="BK136" s="29">
        <f t="shared" si="42"/>
        <v>28641876.333</v>
      </c>
      <c r="BL136" s="29"/>
      <c r="BM136" s="29">
        <f t="shared" si="43"/>
        <v>4220361.708</v>
      </c>
      <c r="BN136" s="29">
        <f t="shared" si="44"/>
        <v>24421514.624999996</v>
      </c>
      <c r="BO136" s="30"/>
    </row>
    <row r="137" spans="1:67" ht="15" customHeight="1" hidden="1">
      <c r="A137" s="247" t="s">
        <v>413</v>
      </c>
      <c r="B137" s="30">
        <v>2477822</v>
      </c>
      <c r="C137" s="30">
        <v>7724386</v>
      </c>
      <c r="D137" s="30">
        <v>0</v>
      </c>
      <c r="E137" s="30">
        <v>0</v>
      </c>
      <c r="F137" s="30">
        <v>5287412</v>
      </c>
      <c r="G137" s="30">
        <v>3632815.995</v>
      </c>
      <c r="H137" s="30">
        <v>2372630</v>
      </c>
      <c r="I137" s="30">
        <v>4677884</v>
      </c>
      <c r="J137" s="30">
        <v>0</v>
      </c>
      <c r="K137" s="30">
        <v>6366636</v>
      </c>
      <c r="L137" s="30">
        <v>330929.939</v>
      </c>
      <c r="M137" s="30"/>
      <c r="N137" s="30"/>
      <c r="O137" s="30">
        <v>2296065</v>
      </c>
      <c r="P137" s="30">
        <v>1671019</v>
      </c>
      <c r="Q137" s="132">
        <v>2530481</v>
      </c>
      <c r="R137" s="30">
        <v>0</v>
      </c>
      <c r="S137" s="30">
        <v>12703320.32</v>
      </c>
      <c r="T137" s="30">
        <v>426468</v>
      </c>
      <c r="U137" s="30">
        <v>940010</v>
      </c>
      <c r="V137" s="30">
        <v>30619</v>
      </c>
      <c r="W137" s="29">
        <v>329657.105</v>
      </c>
      <c r="X137" s="30">
        <v>-9423.813</v>
      </c>
      <c r="Y137" s="30">
        <v>4629040</v>
      </c>
      <c r="Z137" s="30">
        <v>6532483</v>
      </c>
      <c r="AA137" s="30">
        <v>618353.7</v>
      </c>
      <c r="AB137" s="30">
        <v>1091765</v>
      </c>
      <c r="AC137" s="30">
        <v>697547</v>
      </c>
      <c r="AD137" s="30">
        <v>5282175</v>
      </c>
      <c r="AE137" s="30">
        <v>152058</v>
      </c>
      <c r="AF137" s="30">
        <v>0</v>
      </c>
      <c r="AG137" s="30">
        <v>556769.735</v>
      </c>
      <c r="AH137" s="30">
        <v>1170304.623</v>
      </c>
      <c r="AI137" s="30">
        <f>2175283</f>
        <v>2175283</v>
      </c>
      <c r="AJ137" s="30">
        <f>187129</f>
        <v>187129</v>
      </c>
      <c r="AK137" s="30">
        <v>39218</v>
      </c>
      <c r="AL137" s="30">
        <v>345607</v>
      </c>
      <c r="AM137" s="30">
        <v>868946</v>
      </c>
      <c r="AN137" s="30">
        <v>9500</v>
      </c>
      <c r="AO137" s="30">
        <v>0</v>
      </c>
      <c r="AP137" s="30">
        <v>0</v>
      </c>
      <c r="AQ137" s="30">
        <v>1261886</v>
      </c>
      <c r="AR137" s="30">
        <v>646024</v>
      </c>
      <c r="AS137" s="30">
        <v>146598.508</v>
      </c>
      <c r="AT137" s="30">
        <v>1690012</v>
      </c>
      <c r="AU137" s="30">
        <v>73950</v>
      </c>
      <c r="AV137" s="30">
        <v>0</v>
      </c>
      <c r="AW137" s="30">
        <v>521100</v>
      </c>
      <c r="AX137" s="30">
        <v>144700</v>
      </c>
      <c r="AY137" s="30">
        <v>471903</v>
      </c>
      <c r="AZ137" s="30">
        <v>286262</v>
      </c>
      <c r="BA137" s="29">
        <v>506345.165</v>
      </c>
      <c r="BB137" s="30">
        <v>350539</v>
      </c>
      <c r="BC137" s="30">
        <v>453886</v>
      </c>
      <c r="BD137" s="30">
        <v>0</v>
      </c>
      <c r="BE137" s="30">
        <v>18501</v>
      </c>
      <c r="BF137" s="30">
        <v>22220</v>
      </c>
      <c r="BG137" s="30">
        <v>0</v>
      </c>
      <c r="BH137" s="30">
        <v>0</v>
      </c>
      <c r="BI137" s="30">
        <v>0</v>
      </c>
      <c r="BK137" s="29">
        <f t="shared" si="42"/>
        <v>84738837.277</v>
      </c>
      <c r="BL137" s="29"/>
      <c r="BM137" s="29">
        <f t="shared" si="43"/>
        <v>13360448.508</v>
      </c>
      <c r="BN137" s="29">
        <f t="shared" si="44"/>
        <v>71378388.76900001</v>
      </c>
      <c r="BO137" s="30"/>
    </row>
    <row r="138" spans="1:67" ht="15" customHeight="1" hidden="1">
      <c r="A138" s="247" t="s">
        <v>414</v>
      </c>
      <c r="B138" s="30">
        <v>370072</v>
      </c>
      <c r="C138" s="30">
        <v>3888760</v>
      </c>
      <c r="D138" s="30">
        <v>0</v>
      </c>
      <c r="E138" s="30">
        <v>0</v>
      </c>
      <c r="F138" s="30">
        <v>1129925</v>
      </c>
      <c r="G138" s="30">
        <v>1641402.906</v>
      </c>
      <c r="H138" s="30">
        <v>397253</v>
      </c>
      <c r="I138" s="30">
        <v>1489821</v>
      </c>
      <c r="J138" s="30">
        <v>0</v>
      </c>
      <c r="K138" s="30">
        <v>6094603</v>
      </c>
      <c r="L138" s="30">
        <v>66188.745</v>
      </c>
      <c r="M138" s="30"/>
      <c r="N138" s="30"/>
      <c r="O138" s="30">
        <v>199233</v>
      </c>
      <c r="P138" s="30">
        <v>298729</v>
      </c>
      <c r="Q138" s="30">
        <v>0</v>
      </c>
      <c r="R138" s="30">
        <v>0</v>
      </c>
      <c r="S138" s="30">
        <v>1194977.262</v>
      </c>
      <c r="T138" s="30">
        <v>0</v>
      </c>
      <c r="U138" s="30">
        <v>1033775</v>
      </c>
      <c r="V138" s="30">
        <v>0</v>
      </c>
      <c r="W138" s="29">
        <v>0</v>
      </c>
      <c r="X138" s="30">
        <v>-49908.6</v>
      </c>
      <c r="Y138" s="30">
        <v>119385</v>
      </c>
      <c r="Z138" s="30">
        <v>800257</v>
      </c>
      <c r="AA138" s="30">
        <v>45120.9</v>
      </c>
      <c r="AB138" s="30">
        <v>213629</v>
      </c>
      <c r="AC138" s="30">
        <v>0</v>
      </c>
      <c r="AD138" s="30">
        <v>892675</v>
      </c>
      <c r="AE138" s="30">
        <v>0</v>
      </c>
      <c r="AF138" s="30">
        <v>57062.7</v>
      </c>
      <c r="AG138" s="42">
        <v>0</v>
      </c>
      <c r="AH138" s="30">
        <v>128791.131</v>
      </c>
      <c r="AI138" s="30">
        <f>50084</f>
        <v>50084</v>
      </c>
      <c r="AJ138" s="30">
        <v>4309</v>
      </c>
      <c r="AK138" s="30">
        <v>148022</v>
      </c>
      <c r="AL138" s="30">
        <v>33004</v>
      </c>
      <c r="AM138" s="30">
        <v>0</v>
      </c>
      <c r="AN138" s="30">
        <v>287966</v>
      </c>
      <c r="AO138" s="30">
        <v>0</v>
      </c>
      <c r="AP138" s="30">
        <v>0</v>
      </c>
      <c r="AQ138" s="30">
        <v>102624</v>
      </c>
      <c r="AR138" s="30">
        <v>100035</v>
      </c>
      <c r="AS138" s="30">
        <v>35849.096</v>
      </c>
      <c r="AT138" s="30">
        <v>487104</v>
      </c>
      <c r="AU138" s="30">
        <v>0</v>
      </c>
      <c r="AV138" s="30">
        <v>0</v>
      </c>
      <c r="AW138" s="30">
        <v>8561</v>
      </c>
      <c r="AX138" s="30">
        <v>49005</v>
      </c>
      <c r="AY138" s="30">
        <v>20397</v>
      </c>
      <c r="AZ138" s="30">
        <v>17531</v>
      </c>
      <c r="BA138" s="29">
        <v>153687.106</v>
      </c>
      <c r="BB138" s="30">
        <v>0</v>
      </c>
      <c r="BC138" s="30">
        <v>30937</v>
      </c>
      <c r="BD138" s="30">
        <v>0</v>
      </c>
      <c r="BE138" s="30">
        <v>43494</v>
      </c>
      <c r="BF138" s="30">
        <v>23692</v>
      </c>
      <c r="BG138" s="30">
        <v>0</v>
      </c>
      <c r="BH138" s="30">
        <v>0</v>
      </c>
      <c r="BI138" s="30">
        <v>2939.971</v>
      </c>
      <c r="BK138" s="29">
        <f t="shared" si="42"/>
        <v>21610993.216999996</v>
      </c>
      <c r="BL138" s="29"/>
      <c r="BM138" s="29">
        <f t="shared" si="43"/>
        <v>4357914.096</v>
      </c>
      <c r="BN138" s="29">
        <f>+B138+SUM(F138:AA138)+AC138+AD138+AE138+AF138+AG140+AH138+AJ138+AK138+AN138+AP138+AQ138+AR138+AT138+AU138+AW138+AZ138+BA138+BC138+BD138+BI138</f>
        <v>17253079.121</v>
      </c>
      <c r="BO138" s="30"/>
    </row>
    <row r="139" spans="1:67" ht="15" customHeight="1" hidden="1">
      <c r="A139" s="247" t="s">
        <v>415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/>
      <c r="N139" s="30"/>
      <c r="O139" s="30">
        <v>0</v>
      </c>
      <c r="P139" s="30">
        <v>0</v>
      </c>
      <c r="Q139" s="132">
        <v>89205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29">
        <v>0</v>
      </c>
      <c r="X139" s="30">
        <v>789906.217</v>
      </c>
      <c r="Y139" s="30">
        <v>0</v>
      </c>
      <c r="Z139" s="30">
        <v>0</v>
      </c>
      <c r="AA139" s="30">
        <v>152635.5</v>
      </c>
      <c r="AB139" s="30">
        <v>0</v>
      </c>
      <c r="AC139" s="30">
        <v>0</v>
      </c>
      <c r="AD139" s="30">
        <v>116245</v>
      </c>
      <c r="AE139" s="30">
        <v>0</v>
      </c>
      <c r="AF139" s="30">
        <v>0</v>
      </c>
      <c r="AG139" s="30">
        <v>0</v>
      </c>
      <c r="AH139" s="30">
        <v>75000.1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29">
        <v>0</v>
      </c>
      <c r="BB139" s="29">
        <v>0</v>
      </c>
      <c r="BC139" s="30">
        <v>0</v>
      </c>
      <c r="BD139" s="30">
        <v>0</v>
      </c>
      <c r="BE139" s="30">
        <v>17000</v>
      </c>
      <c r="BF139" s="30">
        <v>10619</v>
      </c>
      <c r="BG139" s="30">
        <v>0</v>
      </c>
      <c r="BH139" s="30">
        <v>0</v>
      </c>
      <c r="BI139" s="30"/>
      <c r="BK139" s="29">
        <f t="shared" si="42"/>
        <v>1250610.817</v>
      </c>
      <c r="BL139" s="29"/>
      <c r="BM139" s="29">
        <f t="shared" si="43"/>
        <v>27619</v>
      </c>
      <c r="BN139" s="29">
        <f t="shared" si="44"/>
        <v>1222991.817</v>
      </c>
      <c r="BO139" s="30"/>
    </row>
    <row r="140" spans="1:67" ht="15" customHeight="1" hidden="1">
      <c r="A140" s="247" t="s">
        <v>416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/>
      <c r="N140" s="30"/>
      <c r="O140" s="30">
        <v>0</v>
      </c>
      <c r="P140" s="30">
        <v>48087</v>
      </c>
      <c r="Q140" s="30">
        <v>0</v>
      </c>
      <c r="R140" s="30">
        <v>0</v>
      </c>
      <c r="S140" s="30">
        <v>10837.012</v>
      </c>
      <c r="T140" s="30">
        <v>9500</v>
      </c>
      <c r="U140" s="30">
        <v>0</v>
      </c>
      <c r="V140" s="30">
        <v>0</v>
      </c>
      <c r="W140" s="29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>
        <v>0</v>
      </c>
      <c r="AZ140" s="30">
        <v>0</v>
      </c>
      <c r="BA140" s="29">
        <v>0</v>
      </c>
      <c r="BB140" s="29">
        <v>0</v>
      </c>
      <c r="BC140" s="30">
        <v>0</v>
      </c>
      <c r="BD140" s="30">
        <v>0</v>
      </c>
      <c r="BE140" s="30">
        <v>0</v>
      </c>
      <c r="BF140" s="30">
        <v>0</v>
      </c>
      <c r="BG140" s="30">
        <v>0</v>
      </c>
      <c r="BH140" s="30">
        <v>0</v>
      </c>
      <c r="BI140" s="30">
        <v>0</v>
      </c>
      <c r="BK140" s="29">
        <f t="shared" si="42"/>
        <v>68424.012</v>
      </c>
      <c r="BL140" s="29"/>
      <c r="BM140" s="29">
        <f t="shared" si="43"/>
        <v>0</v>
      </c>
      <c r="BN140" s="29">
        <f t="shared" si="44"/>
        <v>68424.012</v>
      </c>
      <c r="BO140" s="30"/>
    </row>
    <row r="141" spans="1:67" ht="15" customHeight="1" hidden="1">
      <c r="A141" s="247" t="s">
        <v>417</v>
      </c>
      <c r="B141" s="30">
        <v>0</v>
      </c>
      <c r="C141" s="30">
        <v>0</v>
      </c>
      <c r="D141" s="30">
        <v>0</v>
      </c>
      <c r="E141" s="30">
        <v>0</v>
      </c>
      <c r="F141" s="30">
        <v>131587</v>
      </c>
      <c r="G141" s="30">
        <v>0</v>
      </c>
      <c r="H141" s="30">
        <v>0</v>
      </c>
      <c r="I141" s="30">
        <v>3103010</v>
      </c>
      <c r="J141" s="30">
        <v>0</v>
      </c>
      <c r="K141" s="30">
        <v>296101</v>
      </c>
      <c r="L141" s="30">
        <v>3353.582</v>
      </c>
      <c r="M141" s="30"/>
      <c r="N141" s="30"/>
      <c r="O141" s="30">
        <v>0</v>
      </c>
      <c r="P141" s="30">
        <v>398713</v>
      </c>
      <c r="Q141" s="132">
        <v>465923</v>
      </c>
      <c r="R141" s="132">
        <v>-318758</v>
      </c>
      <c r="S141" s="30">
        <v>0</v>
      </c>
      <c r="T141" s="30">
        <v>17162</v>
      </c>
      <c r="U141" s="30">
        <v>-7470</v>
      </c>
      <c r="V141" s="30">
        <v>7222</v>
      </c>
      <c r="W141" s="29">
        <v>0</v>
      </c>
      <c r="X141" s="30">
        <v>10500</v>
      </c>
      <c r="Y141" s="30">
        <v>0</v>
      </c>
      <c r="Z141" s="30">
        <v>0</v>
      </c>
      <c r="AA141" s="30">
        <v>0</v>
      </c>
      <c r="AB141" s="30">
        <v>0</v>
      </c>
      <c r="AC141" s="30">
        <v>6425</v>
      </c>
      <c r="AD141" s="30">
        <v>1061</v>
      </c>
      <c r="AE141" s="30">
        <v>30</v>
      </c>
      <c r="AF141" s="30">
        <v>0</v>
      </c>
      <c r="AG141" s="30">
        <v>59264.972</v>
      </c>
      <c r="AH141" s="30">
        <v>0</v>
      </c>
      <c r="AI141" s="30">
        <f>12130</f>
        <v>12130</v>
      </c>
      <c r="AJ141" s="30">
        <v>1044</v>
      </c>
      <c r="AK141" s="30">
        <v>14</v>
      </c>
      <c r="AL141" s="30">
        <v>0</v>
      </c>
      <c r="AM141" s="30">
        <v>0</v>
      </c>
      <c r="AN141" s="30">
        <v>10927</v>
      </c>
      <c r="AO141" s="30">
        <v>12738</v>
      </c>
      <c r="AP141" s="30">
        <v>8816.7</v>
      </c>
      <c r="AQ141" s="30">
        <v>0</v>
      </c>
      <c r="AR141" s="30">
        <v>0</v>
      </c>
      <c r="AS141" s="30">
        <v>11994.714</v>
      </c>
      <c r="AT141" s="30">
        <v>0</v>
      </c>
      <c r="AU141" s="30">
        <v>10636</v>
      </c>
      <c r="AV141" s="30">
        <v>-2224.868</v>
      </c>
      <c r="AW141" s="30">
        <f>15+65</f>
        <v>80</v>
      </c>
      <c r="AX141" s="30">
        <v>4364</v>
      </c>
      <c r="AY141" s="30">
        <v>0</v>
      </c>
      <c r="AZ141" s="30">
        <v>0</v>
      </c>
      <c r="BA141" s="29">
        <v>987.964</v>
      </c>
      <c r="BB141" s="29">
        <v>0</v>
      </c>
      <c r="BC141" s="30">
        <v>6498</v>
      </c>
      <c r="BD141" s="30">
        <v>0</v>
      </c>
      <c r="BE141" s="30">
        <v>0</v>
      </c>
      <c r="BF141" s="30">
        <v>0</v>
      </c>
      <c r="BG141" s="30">
        <v>1</v>
      </c>
      <c r="BH141" s="30">
        <v>21865.327</v>
      </c>
      <c r="BI141" s="30">
        <v>0</v>
      </c>
      <c r="BK141" s="29">
        <f t="shared" si="42"/>
        <v>4273996.391</v>
      </c>
      <c r="BL141" s="29"/>
      <c r="BM141" s="29">
        <f t="shared" si="43"/>
        <v>60868.172999999995</v>
      </c>
      <c r="BN141" s="29">
        <f t="shared" si="44"/>
        <v>4213128.218</v>
      </c>
      <c r="BO141" s="30"/>
    </row>
    <row r="142" spans="1:67" ht="15" customHeight="1">
      <c r="A142" s="260" t="s">
        <v>408</v>
      </c>
      <c r="B142" s="29">
        <f>SUM(B133:B141)</f>
        <v>10914926</v>
      </c>
      <c r="C142" s="29">
        <f aca="true" t="shared" si="45" ref="C142:H142">SUM(C133:C141)</f>
        <v>35606611</v>
      </c>
      <c r="D142" s="29">
        <f t="shared" si="45"/>
        <v>249113</v>
      </c>
      <c r="E142" s="29">
        <f t="shared" si="45"/>
        <v>40340</v>
      </c>
      <c r="F142" s="29">
        <f t="shared" si="45"/>
        <v>22769706</v>
      </c>
      <c r="G142" s="29">
        <f t="shared" si="45"/>
        <v>13390330.149999999</v>
      </c>
      <c r="H142" s="29">
        <f t="shared" si="45"/>
        <v>9431431</v>
      </c>
      <c r="I142" s="29">
        <f aca="true" t="shared" si="46" ref="I142:AN142">SUM(I133:I141)</f>
        <v>16942127</v>
      </c>
      <c r="J142" s="29">
        <f t="shared" si="46"/>
        <v>196183</v>
      </c>
      <c r="K142" s="29">
        <f t="shared" si="46"/>
        <v>15332456</v>
      </c>
      <c r="L142" s="29">
        <f t="shared" si="46"/>
        <v>3830159.508</v>
      </c>
      <c r="M142" s="29">
        <f t="shared" si="46"/>
        <v>0</v>
      </c>
      <c r="N142" s="29">
        <f t="shared" si="46"/>
        <v>0</v>
      </c>
      <c r="O142" s="29">
        <f t="shared" si="46"/>
        <v>2965967</v>
      </c>
      <c r="P142" s="29">
        <f t="shared" si="46"/>
        <v>5193441</v>
      </c>
      <c r="Q142" s="29">
        <f t="shared" si="46"/>
        <v>5304555</v>
      </c>
      <c r="R142" s="29">
        <f t="shared" si="46"/>
        <v>15093</v>
      </c>
      <c r="S142" s="29">
        <f t="shared" si="46"/>
        <v>15714980.092</v>
      </c>
      <c r="T142" s="29">
        <f t="shared" si="46"/>
        <v>2044973</v>
      </c>
      <c r="U142" s="29">
        <f t="shared" si="46"/>
        <v>3694315</v>
      </c>
      <c r="V142" s="29">
        <f t="shared" si="46"/>
        <v>46157</v>
      </c>
      <c r="W142" s="29">
        <f t="shared" si="46"/>
        <v>899218.533</v>
      </c>
      <c r="X142" s="29">
        <f t="shared" si="46"/>
        <v>2583895.9809999997</v>
      </c>
      <c r="Y142" s="29">
        <f t="shared" si="46"/>
        <v>6607078</v>
      </c>
      <c r="Z142" s="29">
        <f t="shared" si="46"/>
        <v>9110398</v>
      </c>
      <c r="AA142" s="29">
        <f t="shared" si="46"/>
        <v>2030019.4</v>
      </c>
      <c r="AB142" s="29">
        <f t="shared" si="46"/>
        <v>3914963</v>
      </c>
      <c r="AC142" s="29">
        <f t="shared" si="46"/>
        <v>2004304</v>
      </c>
      <c r="AD142" s="29">
        <f t="shared" si="46"/>
        <v>7115465</v>
      </c>
      <c r="AE142" s="29">
        <f t="shared" si="46"/>
        <v>476291</v>
      </c>
      <c r="AF142" s="29">
        <f t="shared" si="46"/>
        <v>906670.1209999999</v>
      </c>
      <c r="AG142" s="29">
        <f t="shared" si="46"/>
        <v>786055.163</v>
      </c>
      <c r="AH142" s="29">
        <f t="shared" si="46"/>
        <v>2092230.531</v>
      </c>
      <c r="AI142" s="29">
        <f t="shared" si="46"/>
        <v>4004034</v>
      </c>
      <c r="AJ142" s="29">
        <f t="shared" si="46"/>
        <v>317637</v>
      </c>
      <c r="AK142" s="29">
        <f t="shared" si="46"/>
        <v>308599</v>
      </c>
      <c r="AL142" s="29">
        <f t="shared" si="46"/>
        <v>1796835</v>
      </c>
      <c r="AM142" s="29">
        <f t="shared" si="46"/>
        <v>1156871</v>
      </c>
      <c r="AN142" s="29">
        <f t="shared" si="46"/>
        <v>550859</v>
      </c>
      <c r="AO142" s="29">
        <f aca="true" t="shared" si="47" ref="AO142:BI142">SUM(AO133:AO141)</f>
        <v>32076</v>
      </c>
      <c r="AP142" s="29">
        <f t="shared" si="47"/>
        <v>314849.6</v>
      </c>
      <c r="AQ142" s="29">
        <f t="shared" si="47"/>
        <v>1490208</v>
      </c>
      <c r="AR142" s="29">
        <f t="shared" si="47"/>
        <v>1134504</v>
      </c>
      <c r="AS142" s="29">
        <f t="shared" si="47"/>
        <v>435442.339</v>
      </c>
      <c r="AT142" s="29">
        <f t="shared" si="47"/>
        <v>2277127</v>
      </c>
      <c r="AU142" s="29">
        <f t="shared" si="47"/>
        <v>114013</v>
      </c>
      <c r="AV142" s="29">
        <f t="shared" si="47"/>
        <v>214826.892</v>
      </c>
      <c r="AW142" s="29">
        <f t="shared" si="47"/>
        <v>625133</v>
      </c>
      <c r="AX142" s="29">
        <f t="shared" si="47"/>
        <v>448684</v>
      </c>
      <c r="AY142" s="29">
        <f t="shared" si="47"/>
        <v>587794</v>
      </c>
      <c r="AZ142" s="29">
        <f t="shared" si="47"/>
        <v>355364</v>
      </c>
      <c r="BA142" s="29">
        <f t="shared" si="47"/>
        <v>735384.0260000001</v>
      </c>
      <c r="BB142" s="29">
        <f t="shared" si="47"/>
        <v>435075</v>
      </c>
      <c r="BC142" s="29">
        <f t="shared" si="47"/>
        <v>519546</v>
      </c>
      <c r="BD142" s="29">
        <f t="shared" si="47"/>
        <v>71597</v>
      </c>
      <c r="BE142" s="29">
        <f t="shared" si="47"/>
        <v>147210</v>
      </c>
      <c r="BF142" s="29">
        <f t="shared" si="47"/>
        <v>94275</v>
      </c>
      <c r="BG142" s="29">
        <f t="shared" si="47"/>
        <v>145910</v>
      </c>
      <c r="BH142" s="29">
        <f t="shared" si="47"/>
        <v>57237.572</v>
      </c>
      <c r="BI142" s="29">
        <f t="shared" si="47"/>
        <v>3070.55</v>
      </c>
      <c r="BK142" s="29">
        <f t="shared" si="42"/>
        <v>220583614.45799994</v>
      </c>
      <c r="BL142" s="29"/>
      <c r="BM142" s="29">
        <f t="shared" si="43"/>
        <v>49367297.802999996</v>
      </c>
      <c r="BN142" s="29">
        <f t="shared" si="44"/>
        <v>171216316.65499997</v>
      </c>
      <c r="BO142" s="30"/>
    </row>
    <row r="143" spans="1:67" ht="15" customHeight="1" hidden="1">
      <c r="A143" s="251"/>
      <c r="Q143" s="33"/>
      <c r="R143" s="33"/>
      <c r="X143" s="30"/>
      <c r="BK143" s="29"/>
      <c r="BL143" s="29"/>
      <c r="BM143" s="29"/>
      <c r="BN143" s="29"/>
      <c r="BO143" s="30"/>
    </row>
    <row r="144" spans="1:67" ht="15" customHeight="1" hidden="1">
      <c r="A144" s="246" t="s">
        <v>418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132"/>
      <c r="R144" s="132"/>
      <c r="S144" s="30"/>
      <c r="T144" s="30"/>
      <c r="U144" s="30"/>
      <c r="V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K144" s="29"/>
      <c r="BL144" s="29"/>
      <c r="BM144" s="29"/>
      <c r="BN144" s="29"/>
      <c r="BO144" s="30"/>
    </row>
    <row r="145" spans="1:67" ht="15" customHeight="1" hidden="1">
      <c r="A145" s="247" t="s">
        <v>419</v>
      </c>
      <c r="B145" s="30">
        <v>77035</v>
      </c>
      <c r="C145" s="30">
        <v>8812145</v>
      </c>
      <c r="D145" s="30">
        <v>195540</v>
      </c>
      <c r="E145" s="30">
        <v>30386</v>
      </c>
      <c r="F145" s="30">
        <v>2079583</v>
      </c>
      <c r="G145" s="30">
        <v>1951352.216</v>
      </c>
      <c r="H145" s="30">
        <v>1156833</v>
      </c>
      <c r="I145" s="30">
        <v>1447883</v>
      </c>
      <c r="J145" s="30">
        <v>485</v>
      </c>
      <c r="K145" s="30">
        <v>971880</v>
      </c>
      <c r="L145" s="30">
        <v>274781.066</v>
      </c>
      <c r="M145" s="30"/>
      <c r="N145" s="30"/>
      <c r="O145" s="30">
        <v>750</v>
      </c>
      <c r="P145" s="30">
        <v>214485</v>
      </c>
      <c r="Q145" s="132">
        <v>766872</v>
      </c>
      <c r="R145" s="132">
        <v>2907</v>
      </c>
      <c r="S145" s="30">
        <v>382922.205</v>
      </c>
      <c r="T145" s="30">
        <v>296791</v>
      </c>
      <c r="U145" s="30">
        <v>350222</v>
      </c>
      <c r="V145" s="30">
        <v>8085</v>
      </c>
      <c r="W145" s="30">
        <v>1903.491</v>
      </c>
      <c r="X145" s="30">
        <v>125447.373</v>
      </c>
      <c r="Y145" s="30">
        <v>474971</v>
      </c>
      <c r="Z145" s="30">
        <v>631086</v>
      </c>
      <c r="AA145" s="30">
        <v>282880.9</v>
      </c>
      <c r="AB145" s="30">
        <v>574462</v>
      </c>
      <c r="AC145" s="30">
        <v>282651</v>
      </c>
      <c r="AD145" s="30">
        <v>273494</v>
      </c>
      <c r="AE145" s="30">
        <v>12998</v>
      </c>
      <c r="AF145" s="30">
        <v>226918.277</v>
      </c>
      <c r="AG145" s="30">
        <v>54.567</v>
      </c>
      <c r="AH145" s="30">
        <v>167160.569</v>
      </c>
      <c r="AI145" s="30">
        <f>16257</f>
        <v>16257</v>
      </c>
      <c r="AJ145" s="30">
        <f>341</f>
        <v>341</v>
      </c>
      <c r="AK145" s="30">
        <v>0</v>
      </c>
      <c r="AL145" s="30">
        <f>1145674</f>
        <v>1145674</v>
      </c>
      <c r="AM145" s="30">
        <v>81380</v>
      </c>
      <c r="AN145" s="30">
        <v>117800</v>
      </c>
      <c r="AO145" s="30">
        <v>28890</v>
      </c>
      <c r="AP145" s="30">
        <v>56826</v>
      </c>
      <c r="AQ145" s="30">
        <v>92867</v>
      </c>
      <c r="AR145" s="30">
        <v>54157</v>
      </c>
      <c r="AS145" s="30">
        <v>75810.078</v>
      </c>
      <c r="AT145" s="30">
        <v>45467</v>
      </c>
      <c r="AU145" s="30">
        <v>0</v>
      </c>
      <c r="AV145" s="30">
        <v>53264.374</v>
      </c>
      <c r="AW145" s="30">
        <v>78097</v>
      </c>
      <c r="AX145" s="30">
        <v>152748</v>
      </c>
      <c r="AY145" s="30">
        <v>51148</v>
      </c>
      <c r="AZ145" s="30">
        <v>36962</v>
      </c>
      <c r="BA145" s="29">
        <v>41832.814</v>
      </c>
      <c r="BB145" s="30">
        <v>30716</v>
      </c>
      <c r="BC145" s="30">
        <v>38184</v>
      </c>
      <c r="BD145" s="30">
        <v>36849</v>
      </c>
      <c r="BE145" s="30">
        <v>31063</v>
      </c>
      <c r="BF145" s="30">
        <v>24768</v>
      </c>
      <c r="BG145" s="30">
        <v>133093</v>
      </c>
      <c r="BH145" s="30">
        <v>52206.603</v>
      </c>
      <c r="BI145" s="30">
        <v>1183.052</v>
      </c>
      <c r="BK145" s="29">
        <f t="shared" si="42"/>
        <v>24552548.585</v>
      </c>
      <c r="BL145" s="29"/>
      <c r="BM145" s="29">
        <f t="shared" si="43"/>
        <v>11489551.055</v>
      </c>
      <c r="BN145" s="29">
        <f t="shared" si="44"/>
        <v>13062997.53</v>
      </c>
      <c r="BO145" s="30"/>
    </row>
    <row r="146" spans="1:67" ht="15" customHeight="1" hidden="1">
      <c r="A146" s="247" t="s">
        <v>420</v>
      </c>
      <c r="B146" s="30">
        <v>33250</v>
      </c>
      <c r="C146" s="30">
        <v>87455</v>
      </c>
      <c r="D146" s="30">
        <v>233</v>
      </c>
      <c r="E146" s="30"/>
      <c r="F146" s="30">
        <v>111419</v>
      </c>
      <c r="G146" s="30">
        <v>50306.376</v>
      </c>
      <c r="H146" s="30">
        <v>23978</v>
      </c>
      <c r="I146" s="30">
        <v>87871</v>
      </c>
      <c r="J146" s="30">
        <v>1057</v>
      </c>
      <c r="K146" s="30">
        <v>21843</v>
      </c>
      <c r="L146" s="30">
        <v>21325</v>
      </c>
      <c r="M146" s="30"/>
      <c r="N146" s="30"/>
      <c r="O146" s="30">
        <v>6768</v>
      </c>
      <c r="P146" s="30">
        <v>37944</v>
      </c>
      <c r="Q146" s="132">
        <v>34603</v>
      </c>
      <c r="R146" s="132">
        <v>3371</v>
      </c>
      <c r="S146" s="30">
        <v>23787.535</v>
      </c>
      <c r="T146" s="30">
        <v>6567</v>
      </c>
      <c r="U146" s="30">
        <v>17560</v>
      </c>
      <c r="V146" s="30">
        <v>655</v>
      </c>
      <c r="W146" s="29">
        <v>28.654</v>
      </c>
      <c r="X146" s="30">
        <v>27566.333</v>
      </c>
      <c r="Y146" s="30">
        <v>721</v>
      </c>
      <c r="Z146" s="30">
        <v>18464</v>
      </c>
      <c r="AA146" s="30">
        <v>14940</v>
      </c>
      <c r="AB146" s="30">
        <v>12962</v>
      </c>
      <c r="AC146" s="30">
        <v>15022</v>
      </c>
      <c r="AD146" s="30">
        <v>38</v>
      </c>
      <c r="AE146" s="30">
        <v>574</v>
      </c>
      <c r="AF146" s="30">
        <v>3511.702</v>
      </c>
      <c r="AG146" s="30">
        <v>855.787</v>
      </c>
      <c r="AH146" s="30">
        <v>13084.226</v>
      </c>
      <c r="AI146" s="30">
        <f>4488</f>
        <v>4488</v>
      </c>
      <c r="AJ146" s="30">
        <f>284</f>
        <v>284</v>
      </c>
      <c r="AK146" s="30">
        <v>797</v>
      </c>
      <c r="AL146" s="30">
        <v>0</v>
      </c>
      <c r="AM146" s="30">
        <v>1198</v>
      </c>
      <c r="AN146" s="30">
        <v>906</v>
      </c>
      <c r="AO146" s="30">
        <v>116</v>
      </c>
      <c r="AP146" s="30">
        <v>6380.5</v>
      </c>
      <c r="AQ146" s="30">
        <v>1317</v>
      </c>
      <c r="AR146" s="30">
        <v>0</v>
      </c>
      <c r="AS146" s="30">
        <v>995.2</v>
      </c>
      <c r="AT146" s="30">
        <v>0</v>
      </c>
      <c r="AU146" s="30">
        <v>0</v>
      </c>
      <c r="AV146" s="30">
        <v>1509.644</v>
      </c>
      <c r="AW146" s="30">
        <v>723</v>
      </c>
      <c r="AX146" s="30">
        <v>1109</v>
      </c>
      <c r="AY146" s="30">
        <v>7353</v>
      </c>
      <c r="AZ146" s="30">
        <v>148</v>
      </c>
      <c r="BA146" s="29">
        <v>105.656</v>
      </c>
      <c r="BB146" s="30">
        <v>107</v>
      </c>
      <c r="BC146" s="30">
        <v>374</v>
      </c>
      <c r="BD146" s="30">
        <v>0</v>
      </c>
      <c r="BE146" s="30">
        <v>0</v>
      </c>
      <c r="BF146" s="30">
        <v>1327</v>
      </c>
      <c r="BG146" s="30">
        <v>1</v>
      </c>
      <c r="BH146" s="30">
        <v>0</v>
      </c>
      <c r="BI146" s="30">
        <v>0</v>
      </c>
      <c r="BK146" s="29">
        <f t="shared" si="42"/>
        <v>706999.6129999999</v>
      </c>
      <c r="BL146" s="29"/>
      <c r="BM146" s="29">
        <f t="shared" si="43"/>
        <v>118853.844</v>
      </c>
      <c r="BN146" s="29">
        <f t="shared" si="44"/>
        <v>588145.769</v>
      </c>
      <c r="BO146" s="30"/>
    </row>
    <row r="147" spans="1:67" ht="15" customHeight="1" hidden="1">
      <c r="A147" s="248" t="s">
        <v>421</v>
      </c>
      <c r="B147" s="30">
        <v>23021</v>
      </c>
      <c r="C147" s="30">
        <v>72867</v>
      </c>
      <c r="D147" s="30">
        <v>2362</v>
      </c>
      <c r="E147" s="30">
        <v>486</v>
      </c>
      <c r="F147" s="30">
        <v>112765</v>
      </c>
      <c r="G147" s="30">
        <v>104563.468</v>
      </c>
      <c r="H147" s="30">
        <v>59294</v>
      </c>
      <c r="I147" s="30">
        <v>102363</v>
      </c>
      <c r="J147" s="30">
        <v>1067</v>
      </c>
      <c r="K147" s="30">
        <v>48097</v>
      </c>
      <c r="L147" s="30">
        <v>40068</v>
      </c>
      <c r="M147" s="30"/>
      <c r="N147" s="30"/>
      <c r="O147" s="30">
        <v>3393</v>
      </c>
      <c r="P147" s="30">
        <v>30715</v>
      </c>
      <c r="Q147" s="132">
        <v>20682</v>
      </c>
      <c r="R147" s="132">
        <v>8815</v>
      </c>
      <c r="S147" s="30">
        <v>19092.234</v>
      </c>
      <c r="T147" s="30">
        <v>12786</v>
      </c>
      <c r="U147" s="30">
        <v>26803</v>
      </c>
      <c r="V147" s="30">
        <v>682</v>
      </c>
      <c r="W147" s="29">
        <v>5642.149</v>
      </c>
      <c r="X147" s="30">
        <v>25917.089</v>
      </c>
      <c r="Y147" s="30">
        <v>51056</v>
      </c>
      <c r="Z147" s="30">
        <v>24205</v>
      </c>
      <c r="AA147" s="30">
        <v>19221.4</v>
      </c>
      <c r="AB147" s="30">
        <v>11933</v>
      </c>
      <c r="AC147" s="30">
        <v>13762</v>
      </c>
      <c r="AD147" s="30">
        <v>3768</v>
      </c>
      <c r="AE147" s="30">
        <v>1680</v>
      </c>
      <c r="AF147" s="30">
        <v>0</v>
      </c>
      <c r="AG147" s="30">
        <v>1636.79</v>
      </c>
      <c r="AH147" s="30">
        <v>15083.959</v>
      </c>
      <c r="AI147" s="30">
        <f>29314</f>
        <v>29314</v>
      </c>
      <c r="AJ147" s="30">
        <f>1857</f>
        <v>1857</v>
      </c>
      <c r="AK147" s="30">
        <v>1048</v>
      </c>
      <c r="AL147" s="30">
        <f>32076</f>
        <v>32076</v>
      </c>
      <c r="AM147" s="30">
        <v>2121</v>
      </c>
      <c r="AN147" s="30">
        <v>3510</v>
      </c>
      <c r="AO147" s="30">
        <v>465</v>
      </c>
      <c r="AP147" s="30">
        <v>3385</v>
      </c>
      <c r="AQ147" s="30">
        <v>658</v>
      </c>
      <c r="AR147" s="30">
        <v>6435</v>
      </c>
      <c r="AS147" s="30">
        <v>5301.491</v>
      </c>
      <c r="AT147" s="30">
        <v>2963</v>
      </c>
      <c r="AU147" s="30">
        <v>0</v>
      </c>
      <c r="AV147" s="30">
        <v>6198.577</v>
      </c>
      <c r="AW147" s="30">
        <v>2115</v>
      </c>
      <c r="AX147" s="30">
        <v>3401</v>
      </c>
      <c r="AY147" s="30">
        <v>648</v>
      </c>
      <c r="AZ147" s="30">
        <v>1288</v>
      </c>
      <c r="BA147" s="29">
        <v>1167.528</v>
      </c>
      <c r="BB147" s="30">
        <v>2473</v>
      </c>
      <c r="BC147" s="30">
        <v>1500</v>
      </c>
      <c r="BD147" s="30">
        <v>371</v>
      </c>
      <c r="BE147" s="30">
        <v>2546</v>
      </c>
      <c r="BF147" s="30">
        <v>1327</v>
      </c>
      <c r="BG147" s="30">
        <v>2201</v>
      </c>
      <c r="BH147" s="30">
        <v>1692.566</v>
      </c>
      <c r="BI147" s="30">
        <v>136.658</v>
      </c>
      <c r="BK147" s="29">
        <f t="shared" si="42"/>
        <v>980025.9090000003</v>
      </c>
      <c r="BL147" s="29"/>
      <c r="BM147" s="29">
        <f t="shared" si="43"/>
        <v>177412.634</v>
      </c>
      <c r="BN147" s="29">
        <f t="shared" si="44"/>
        <v>802613.2750000003</v>
      </c>
      <c r="BO147" s="30"/>
    </row>
    <row r="148" spans="1:67" ht="15" customHeight="1" hidden="1">
      <c r="A148" s="247" t="s">
        <v>422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v>263212.262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/>
      <c r="N148" s="30"/>
      <c r="O148" s="30">
        <v>-60</v>
      </c>
      <c r="P148" s="30">
        <v>0</v>
      </c>
      <c r="Q148" s="30">
        <v>0</v>
      </c>
      <c r="R148" s="30">
        <v>0</v>
      </c>
      <c r="S148" s="30">
        <v>17817.618</v>
      </c>
      <c r="T148" s="30">
        <v>0</v>
      </c>
      <c r="U148" s="30">
        <v>0</v>
      </c>
      <c r="V148" s="30">
        <v>0</v>
      </c>
      <c r="W148" s="42">
        <v>0</v>
      </c>
      <c r="X148" s="30">
        <v>0</v>
      </c>
      <c r="Y148" s="30">
        <v>375593</v>
      </c>
      <c r="Z148" s="30">
        <v>0</v>
      </c>
      <c r="AA148" s="30"/>
      <c r="AB148" s="30"/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v>0</v>
      </c>
      <c r="BI148" s="30">
        <v>0</v>
      </c>
      <c r="BK148" s="29">
        <f t="shared" si="42"/>
        <v>656562.88</v>
      </c>
      <c r="BL148" s="29"/>
      <c r="BM148" s="29">
        <f t="shared" si="43"/>
        <v>0</v>
      </c>
      <c r="BN148" s="29">
        <f t="shared" si="44"/>
        <v>656562.88</v>
      </c>
      <c r="BO148" s="30"/>
    </row>
    <row r="149" spans="1:67" ht="15" customHeight="1" hidden="1">
      <c r="A149" s="247" t="s">
        <v>423</v>
      </c>
      <c r="B149" s="30">
        <v>0</v>
      </c>
      <c r="C149" s="30">
        <v>0</v>
      </c>
      <c r="D149" s="30">
        <v>0</v>
      </c>
      <c r="E149" s="30">
        <v>0</v>
      </c>
      <c r="F149" s="30">
        <v>755039</v>
      </c>
      <c r="G149" s="30">
        <v>11502.059</v>
      </c>
      <c r="H149" s="30">
        <v>130784</v>
      </c>
      <c r="I149" s="30">
        <v>2971</v>
      </c>
      <c r="J149" s="30">
        <v>193574</v>
      </c>
      <c r="K149" s="30">
        <v>504754</v>
      </c>
      <c r="L149" s="30">
        <v>0</v>
      </c>
      <c r="M149" s="30"/>
      <c r="N149" s="30"/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63</v>
      </c>
      <c r="V149" s="30">
        <v>0</v>
      </c>
      <c r="W149" s="29">
        <v>612.959</v>
      </c>
      <c r="X149" s="30">
        <v>-5820.966</v>
      </c>
      <c r="Y149" s="30"/>
      <c r="Z149" s="30">
        <v>0</v>
      </c>
      <c r="AA149" s="30">
        <v>10532.3</v>
      </c>
      <c r="AB149" s="30">
        <v>55069</v>
      </c>
      <c r="AC149" s="30">
        <v>0</v>
      </c>
      <c r="AD149" s="30">
        <v>0</v>
      </c>
      <c r="AE149" s="30">
        <v>4</v>
      </c>
      <c r="AF149" s="30">
        <v>5963.993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f>43671</f>
        <v>43671</v>
      </c>
      <c r="AM149" s="30">
        <v>15135</v>
      </c>
      <c r="AN149" s="30">
        <v>0</v>
      </c>
      <c r="AO149" s="30">
        <v>0</v>
      </c>
      <c r="AP149" s="30">
        <v>11</v>
      </c>
      <c r="AQ149" s="30">
        <v>0</v>
      </c>
      <c r="AR149" s="30">
        <v>273850</v>
      </c>
      <c r="AS149" s="30">
        <v>2693.181</v>
      </c>
      <c r="AT149" s="30">
        <v>114</v>
      </c>
      <c r="AU149" s="30">
        <v>0</v>
      </c>
      <c r="AV149" s="30">
        <v>0</v>
      </c>
      <c r="AW149" s="30">
        <v>0</v>
      </c>
      <c r="AX149" s="30">
        <v>0</v>
      </c>
      <c r="AY149" s="30">
        <v>5483</v>
      </c>
      <c r="AZ149" s="30">
        <v>23</v>
      </c>
      <c r="BA149" s="29">
        <v>31521.224</v>
      </c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K149" s="29">
        <f t="shared" si="42"/>
        <v>2037549.75</v>
      </c>
      <c r="BL149" s="29"/>
      <c r="BM149" s="29">
        <f t="shared" si="43"/>
        <v>122051.181</v>
      </c>
      <c r="BN149" s="29">
        <f t="shared" si="44"/>
        <v>1915498.569</v>
      </c>
      <c r="BO149" s="30"/>
    </row>
    <row r="150" spans="1:67" ht="15" customHeight="1">
      <c r="A150" s="260" t="s">
        <v>418</v>
      </c>
      <c r="B150" s="29">
        <f aca="true" t="shared" si="48" ref="B150:AG150">SUM(B145:B149)</f>
        <v>133306</v>
      </c>
      <c r="C150" s="29">
        <f t="shared" si="48"/>
        <v>8972467</v>
      </c>
      <c r="D150" s="29">
        <f t="shared" si="48"/>
        <v>198135</v>
      </c>
      <c r="E150" s="29">
        <f t="shared" si="48"/>
        <v>30872</v>
      </c>
      <c r="F150" s="29">
        <f t="shared" si="48"/>
        <v>3058806</v>
      </c>
      <c r="G150" s="29">
        <f t="shared" si="48"/>
        <v>2380936.381</v>
      </c>
      <c r="H150" s="29">
        <f t="shared" si="48"/>
        <v>1370889</v>
      </c>
      <c r="I150" s="29">
        <f t="shared" si="48"/>
        <v>1641088</v>
      </c>
      <c r="J150" s="29">
        <f t="shared" si="48"/>
        <v>196183</v>
      </c>
      <c r="K150" s="29">
        <f t="shared" si="48"/>
        <v>1546574</v>
      </c>
      <c r="L150" s="29">
        <f t="shared" si="48"/>
        <v>336174.066</v>
      </c>
      <c r="M150" s="29">
        <f t="shared" si="48"/>
        <v>0</v>
      </c>
      <c r="N150" s="29">
        <f t="shared" si="48"/>
        <v>0</v>
      </c>
      <c r="O150" s="29">
        <f t="shared" si="48"/>
        <v>10851</v>
      </c>
      <c r="P150" s="29">
        <f t="shared" si="48"/>
        <v>283144</v>
      </c>
      <c r="Q150" s="29">
        <f t="shared" si="48"/>
        <v>822157</v>
      </c>
      <c r="R150" s="29">
        <f t="shared" si="48"/>
        <v>15093</v>
      </c>
      <c r="S150" s="29">
        <f t="shared" si="48"/>
        <v>443619.592</v>
      </c>
      <c r="T150" s="29">
        <f t="shared" si="48"/>
        <v>316144</v>
      </c>
      <c r="U150" s="29">
        <f t="shared" si="48"/>
        <v>394648</v>
      </c>
      <c r="V150" s="29">
        <f t="shared" si="48"/>
        <v>9422</v>
      </c>
      <c r="W150" s="29">
        <f t="shared" si="48"/>
        <v>8187.253</v>
      </c>
      <c r="X150" s="29">
        <f t="shared" si="48"/>
        <v>173109.82900000003</v>
      </c>
      <c r="Y150" s="29">
        <f t="shared" si="48"/>
        <v>902341</v>
      </c>
      <c r="Z150" s="29">
        <f t="shared" si="48"/>
        <v>673755</v>
      </c>
      <c r="AA150" s="29">
        <f t="shared" si="48"/>
        <v>327574.60000000003</v>
      </c>
      <c r="AB150" s="29">
        <f t="shared" si="48"/>
        <v>654426</v>
      </c>
      <c r="AC150" s="29">
        <f t="shared" si="48"/>
        <v>311435</v>
      </c>
      <c r="AD150" s="29">
        <f t="shared" si="48"/>
        <v>277300</v>
      </c>
      <c r="AE150" s="29">
        <f t="shared" si="48"/>
        <v>15256</v>
      </c>
      <c r="AF150" s="29">
        <f t="shared" si="48"/>
        <v>236393.97199999998</v>
      </c>
      <c r="AG150" s="29">
        <f t="shared" si="48"/>
        <v>2547.1440000000002</v>
      </c>
      <c r="AH150" s="29">
        <f aca="true" t="shared" si="49" ref="AH150:BI150">SUM(AH145:AH149)</f>
        <v>195328.754</v>
      </c>
      <c r="AI150" s="29">
        <f t="shared" si="49"/>
        <v>50059</v>
      </c>
      <c r="AJ150" s="29">
        <f t="shared" si="49"/>
        <v>2482</v>
      </c>
      <c r="AK150" s="29">
        <f t="shared" si="49"/>
        <v>1845</v>
      </c>
      <c r="AL150" s="29">
        <f t="shared" si="49"/>
        <v>1221421</v>
      </c>
      <c r="AM150" s="29">
        <f t="shared" si="49"/>
        <v>99834</v>
      </c>
      <c r="AN150" s="29">
        <f t="shared" si="49"/>
        <v>122216</v>
      </c>
      <c r="AO150" s="29">
        <f t="shared" si="49"/>
        <v>29471</v>
      </c>
      <c r="AP150" s="29">
        <f t="shared" si="49"/>
        <v>66602.5</v>
      </c>
      <c r="AQ150" s="29">
        <f t="shared" si="49"/>
        <v>94842</v>
      </c>
      <c r="AR150" s="29">
        <f t="shared" si="49"/>
        <v>334442</v>
      </c>
      <c r="AS150" s="29">
        <f t="shared" si="49"/>
        <v>84799.94999999998</v>
      </c>
      <c r="AT150" s="29">
        <f t="shared" si="49"/>
        <v>48544</v>
      </c>
      <c r="AU150" s="29">
        <f t="shared" si="49"/>
        <v>0</v>
      </c>
      <c r="AV150" s="29">
        <f t="shared" si="49"/>
        <v>60972.595</v>
      </c>
      <c r="AW150" s="29">
        <f t="shared" si="49"/>
        <v>80935</v>
      </c>
      <c r="AX150" s="29">
        <f t="shared" si="49"/>
        <v>157258</v>
      </c>
      <c r="AY150" s="29">
        <f t="shared" si="49"/>
        <v>64632</v>
      </c>
      <c r="AZ150" s="29">
        <f t="shared" si="49"/>
        <v>38421</v>
      </c>
      <c r="BA150" s="29">
        <f t="shared" si="49"/>
        <v>74627.222</v>
      </c>
      <c r="BB150" s="29">
        <f t="shared" si="49"/>
        <v>33296</v>
      </c>
      <c r="BC150" s="29">
        <f t="shared" si="49"/>
        <v>40058</v>
      </c>
      <c r="BD150" s="29">
        <f t="shared" si="49"/>
        <v>37220</v>
      </c>
      <c r="BE150" s="29">
        <f t="shared" si="49"/>
        <v>33609</v>
      </c>
      <c r="BF150" s="29">
        <f t="shared" si="49"/>
        <v>27422</v>
      </c>
      <c r="BG150" s="29">
        <f t="shared" si="49"/>
        <v>135295</v>
      </c>
      <c r="BH150" s="29">
        <f t="shared" si="49"/>
        <v>53899.169</v>
      </c>
      <c r="BI150" s="29">
        <f t="shared" si="49"/>
        <v>1319.7099999999998</v>
      </c>
      <c r="BK150" s="29">
        <f t="shared" si="42"/>
        <v>28933686.737</v>
      </c>
      <c r="BL150" s="29"/>
      <c r="BM150" s="29">
        <f t="shared" si="43"/>
        <v>11907868.714</v>
      </c>
      <c r="BN150" s="29">
        <f t="shared" si="44"/>
        <v>17025818.023</v>
      </c>
      <c r="BO150" s="30"/>
    </row>
    <row r="151" spans="1:67" ht="15" customHeight="1" hidden="1">
      <c r="A151" s="251"/>
      <c r="Q151" s="33"/>
      <c r="R151" s="33"/>
      <c r="X151" s="30"/>
      <c r="BK151" s="29"/>
      <c r="BL151" s="29"/>
      <c r="BM151" s="29"/>
      <c r="BN151" s="29"/>
      <c r="BO151" s="30"/>
    </row>
    <row r="152" spans="1:67" ht="15" customHeight="1">
      <c r="A152" s="119" t="s">
        <v>424</v>
      </c>
      <c r="Q152" s="33"/>
      <c r="R152" s="33"/>
      <c r="X152" s="30"/>
      <c r="BK152" s="29"/>
      <c r="BL152" s="29"/>
      <c r="BM152" s="29"/>
      <c r="BN152" s="29"/>
      <c r="BO152" s="30"/>
    </row>
    <row r="153" spans="1:67" ht="15" customHeight="1">
      <c r="A153" s="246" t="s">
        <v>425</v>
      </c>
      <c r="B153" s="29">
        <f>+B142-B150</f>
        <v>10781620</v>
      </c>
      <c r="C153" s="29">
        <f aca="true" t="shared" si="50" ref="C153:BI153">+C142-C150</f>
        <v>26634144</v>
      </c>
      <c r="D153" s="29">
        <f t="shared" si="50"/>
        <v>50978</v>
      </c>
      <c r="E153" s="29">
        <f t="shared" si="50"/>
        <v>9468</v>
      </c>
      <c r="F153" s="29">
        <f t="shared" si="50"/>
        <v>19710900</v>
      </c>
      <c r="G153" s="29">
        <f t="shared" si="50"/>
        <v>11009393.768999998</v>
      </c>
      <c r="H153" s="29">
        <f t="shared" si="50"/>
        <v>8060542</v>
      </c>
      <c r="I153" s="29">
        <f t="shared" si="50"/>
        <v>15301039</v>
      </c>
      <c r="J153" s="29">
        <f t="shared" si="50"/>
        <v>0</v>
      </c>
      <c r="K153" s="29">
        <f t="shared" si="50"/>
        <v>13785882</v>
      </c>
      <c r="L153" s="29">
        <f t="shared" si="50"/>
        <v>3493985.442</v>
      </c>
      <c r="M153" s="29">
        <f t="shared" si="50"/>
        <v>0</v>
      </c>
      <c r="N153" s="29">
        <f t="shared" si="50"/>
        <v>0</v>
      </c>
      <c r="O153" s="29">
        <f t="shared" si="50"/>
        <v>2955116</v>
      </c>
      <c r="P153" s="29">
        <f t="shared" si="50"/>
        <v>4910297</v>
      </c>
      <c r="Q153" s="29">
        <f t="shared" si="50"/>
        <v>4482398</v>
      </c>
      <c r="R153" s="29">
        <f t="shared" si="50"/>
        <v>0</v>
      </c>
      <c r="S153" s="29">
        <f t="shared" si="50"/>
        <v>15271360.5</v>
      </c>
      <c r="T153" s="29">
        <f t="shared" si="50"/>
        <v>1728829</v>
      </c>
      <c r="U153" s="29">
        <f t="shared" si="50"/>
        <v>3299667</v>
      </c>
      <c r="V153" s="29">
        <f t="shared" si="50"/>
        <v>36735</v>
      </c>
      <c r="W153" s="29">
        <f t="shared" si="50"/>
        <v>891031.28</v>
      </c>
      <c r="X153" s="29">
        <f t="shared" si="50"/>
        <v>2410786.152</v>
      </c>
      <c r="Y153" s="29">
        <f t="shared" si="50"/>
        <v>5704737</v>
      </c>
      <c r="Z153" s="29">
        <f t="shared" si="50"/>
        <v>8436643</v>
      </c>
      <c r="AA153" s="29">
        <f t="shared" si="50"/>
        <v>1702444.7999999998</v>
      </c>
      <c r="AB153" s="29">
        <f t="shared" si="50"/>
        <v>3260537</v>
      </c>
      <c r="AC153" s="29">
        <f t="shared" si="50"/>
        <v>1692869</v>
      </c>
      <c r="AD153" s="29">
        <f t="shared" si="50"/>
        <v>6838165</v>
      </c>
      <c r="AE153" s="29">
        <f t="shared" si="50"/>
        <v>461035</v>
      </c>
      <c r="AF153" s="29">
        <f t="shared" si="50"/>
        <v>670276.149</v>
      </c>
      <c r="AG153" s="29">
        <f t="shared" si="50"/>
        <v>783508.019</v>
      </c>
      <c r="AH153" s="29">
        <f t="shared" si="50"/>
        <v>1896901.777</v>
      </c>
      <c r="AI153" s="29">
        <f t="shared" si="50"/>
        <v>3953975</v>
      </c>
      <c r="AJ153" s="29">
        <f t="shared" si="50"/>
        <v>315155</v>
      </c>
      <c r="AK153" s="29">
        <f t="shared" si="50"/>
        <v>306754</v>
      </c>
      <c r="AL153" s="29">
        <f t="shared" si="50"/>
        <v>575414</v>
      </c>
      <c r="AM153" s="29">
        <f t="shared" si="50"/>
        <v>1057037</v>
      </c>
      <c r="AN153" s="29">
        <f t="shared" si="50"/>
        <v>428643</v>
      </c>
      <c r="AO153" s="29">
        <f t="shared" si="50"/>
        <v>2605</v>
      </c>
      <c r="AP153" s="29">
        <f t="shared" si="50"/>
        <v>248247.09999999998</v>
      </c>
      <c r="AQ153" s="29">
        <f t="shared" si="50"/>
        <v>1395366</v>
      </c>
      <c r="AR153" s="29">
        <f t="shared" si="50"/>
        <v>800062</v>
      </c>
      <c r="AS153" s="29">
        <f t="shared" si="50"/>
        <v>350642.38899999997</v>
      </c>
      <c r="AT153" s="29">
        <f t="shared" si="50"/>
        <v>2228583</v>
      </c>
      <c r="AU153" s="29">
        <f t="shared" si="50"/>
        <v>114013</v>
      </c>
      <c r="AV153" s="29">
        <f t="shared" si="50"/>
        <v>153854.297</v>
      </c>
      <c r="AW153" s="29">
        <f t="shared" si="50"/>
        <v>544198</v>
      </c>
      <c r="AX153" s="29">
        <f t="shared" si="50"/>
        <v>291426</v>
      </c>
      <c r="AY153" s="29">
        <f t="shared" si="50"/>
        <v>523162</v>
      </c>
      <c r="AZ153" s="29">
        <f t="shared" si="50"/>
        <v>316943</v>
      </c>
      <c r="BA153" s="29">
        <f t="shared" si="50"/>
        <v>660756.8040000001</v>
      </c>
      <c r="BB153" s="29">
        <f t="shared" si="50"/>
        <v>401779</v>
      </c>
      <c r="BC153" s="29">
        <f t="shared" si="50"/>
        <v>479488</v>
      </c>
      <c r="BD153" s="29">
        <f t="shared" si="50"/>
        <v>34377</v>
      </c>
      <c r="BE153" s="29">
        <f t="shared" si="50"/>
        <v>113601</v>
      </c>
      <c r="BF153" s="29">
        <f t="shared" si="50"/>
        <v>66853</v>
      </c>
      <c r="BG153" s="29">
        <f t="shared" si="50"/>
        <v>10615</v>
      </c>
      <c r="BH153" s="29">
        <f t="shared" si="50"/>
        <v>3338.4029999999984</v>
      </c>
      <c r="BI153" s="29">
        <f t="shared" si="50"/>
        <v>1750.8400000000004</v>
      </c>
      <c r="BK153" s="29">
        <f t="shared" si="42"/>
        <v>191649927.721</v>
      </c>
      <c r="BL153" s="29"/>
      <c r="BM153" s="29">
        <f t="shared" si="43"/>
        <v>37459429.088999994</v>
      </c>
      <c r="BN153" s="29">
        <f t="shared" si="44"/>
        <v>154190498.63199997</v>
      </c>
      <c r="BO153" s="30"/>
    </row>
    <row r="154" spans="1:67" ht="15" customHeight="1" hidden="1">
      <c r="A154" s="247"/>
      <c r="Q154" s="33"/>
      <c r="R154" s="33"/>
      <c r="X154" s="30"/>
      <c r="BK154" s="29"/>
      <c r="BL154" s="29"/>
      <c r="BM154" s="29"/>
      <c r="BN154" s="29"/>
      <c r="BO154" s="30"/>
    </row>
    <row r="155" spans="1:67" ht="15" customHeight="1" hidden="1">
      <c r="A155" s="119" t="s">
        <v>426</v>
      </c>
      <c r="Q155" s="33"/>
      <c r="R155" s="33"/>
      <c r="X155" s="30"/>
      <c r="BK155" s="29"/>
      <c r="BL155" s="29"/>
      <c r="BM155" s="29"/>
      <c r="BN155" s="29"/>
      <c r="BO155" s="30"/>
    </row>
    <row r="156" spans="1:67" ht="15" customHeight="1" hidden="1">
      <c r="A156" s="247" t="s">
        <v>427</v>
      </c>
      <c r="B156" s="30">
        <v>5014944</v>
      </c>
      <c r="C156" s="30">
        <v>14533122</v>
      </c>
      <c r="D156" s="30">
        <v>0</v>
      </c>
      <c r="E156" s="30">
        <v>0</v>
      </c>
      <c r="F156" s="89">
        <v>8349368</v>
      </c>
      <c r="G156" s="30">
        <v>4517509.401</v>
      </c>
      <c r="H156" s="30">
        <v>4158648</v>
      </c>
      <c r="I156" s="30">
        <v>4542666</v>
      </c>
      <c r="J156" s="30">
        <v>0</v>
      </c>
      <c r="K156" s="30">
        <v>6859113</v>
      </c>
      <c r="L156" s="30">
        <v>862915</v>
      </c>
      <c r="M156" s="30"/>
      <c r="N156" s="30"/>
      <c r="O156" s="30">
        <v>2906745</v>
      </c>
      <c r="P156" s="30">
        <v>1958805</v>
      </c>
      <c r="Q156" s="132">
        <v>1771532</v>
      </c>
      <c r="R156" s="132">
        <v>0</v>
      </c>
      <c r="S156" s="30">
        <v>14059936.691</v>
      </c>
      <c r="T156" s="30">
        <v>1232075</v>
      </c>
      <c r="U156" s="30">
        <v>1377866</v>
      </c>
      <c r="V156" s="30">
        <v>27003</v>
      </c>
      <c r="W156" s="29">
        <v>807598.293</v>
      </c>
      <c r="X156" s="30">
        <v>49690.9</v>
      </c>
      <c r="Y156" s="30">
        <v>4800921</v>
      </c>
      <c r="Z156" s="30">
        <v>7431485</v>
      </c>
      <c r="AA156" s="30">
        <v>1083063.8</v>
      </c>
      <c r="AB156" s="30">
        <v>2123281</v>
      </c>
      <c r="AC156" s="30">
        <v>553672</v>
      </c>
      <c r="AD156" s="30">
        <v>6637447</v>
      </c>
      <c r="AE156" s="30">
        <v>401540</v>
      </c>
      <c r="AF156" s="30">
        <v>0</v>
      </c>
      <c r="AG156" s="30">
        <v>783220.437</v>
      </c>
      <c r="AH156" s="30">
        <v>1375480.711</v>
      </c>
      <c r="AI156" s="30">
        <f>2893136</f>
        <v>2893136</v>
      </c>
      <c r="AJ156" s="30">
        <v>224273</v>
      </c>
      <c r="AK156" s="30">
        <v>278109</v>
      </c>
      <c r="AL156" s="30">
        <v>295473</v>
      </c>
      <c r="AM156" s="30">
        <v>1057087</v>
      </c>
      <c r="AN156" s="30">
        <v>15020</v>
      </c>
      <c r="AO156" s="30">
        <v>0</v>
      </c>
      <c r="AP156" s="30">
        <v>7967.3</v>
      </c>
      <c r="AQ156" s="30">
        <v>1404089</v>
      </c>
      <c r="AR156" s="30">
        <v>657466</v>
      </c>
      <c r="AS156" s="30">
        <v>291498.06</v>
      </c>
      <c r="AT156" s="30">
        <v>1297242</v>
      </c>
      <c r="AU156" s="30">
        <v>114011</v>
      </c>
      <c r="AV156" s="30">
        <f>486.382+1868.7</f>
        <v>2355.082</v>
      </c>
      <c r="AW156" s="30">
        <v>545875</v>
      </c>
      <c r="AX156" s="30">
        <v>200342</v>
      </c>
      <c r="AY156" s="30">
        <v>514672</v>
      </c>
      <c r="AZ156" s="30">
        <v>316690</v>
      </c>
      <c r="BA156" s="30">
        <v>442566.425</v>
      </c>
      <c r="BB156" s="30">
        <v>374237</v>
      </c>
      <c r="BC156" s="30">
        <v>480505</v>
      </c>
      <c r="BD156" s="30">
        <v>0</v>
      </c>
      <c r="BE156" s="30">
        <v>67223</v>
      </c>
      <c r="BF156" s="30">
        <v>58252</v>
      </c>
      <c r="BG156" s="30">
        <v>0</v>
      </c>
      <c r="BH156" s="30">
        <v>0</v>
      </c>
      <c r="BI156" s="30">
        <v>0</v>
      </c>
      <c r="BK156" s="29">
        <f t="shared" si="42"/>
        <v>109757737.10000001</v>
      </c>
      <c r="BL156" s="29"/>
      <c r="BM156" s="29">
        <f t="shared" si="43"/>
        <v>22410678.141999997</v>
      </c>
      <c r="BN156" s="29">
        <f t="shared" si="44"/>
        <v>87347058.95799999</v>
      </c>
      <c r="BO156" s="30"/>
    </row>
    <row r="157" spans="1:67" ht="15" customHeight="1" hidden="1">
      <c r="A157" s="247" t="s">
        <v>428</v>
      </c>
      <c r="B157" s="30">
        <v>4483700</v>
      </c>
      <c r="C157" s="30">
        <v>8815103</v>
      </c>
      <c r="D157" s="30">
        <v>0</v>
      </c>
      <c r="E157" s="30">
        <v>0</v>
      </c>
      <c r="F157" s="89">
        <v>6486738</v>
      </c>
      <c r="G157" s="30">
        <v>5108548.108</v>
      </c>
      <c r="H157" s="30">
        <v>3176687</v>
      </c>
      <c r="I157" s="30">
        <v>8668493</v>
      </c>
      <c r="J157" s="30">
        <v>0</v>
      </c>
      <c r="K157" s="30">
        <v>6205282</v>
      </c>
      <c r="L157" s="30">
        <v>2051142</v>
      </c>
      <c r="M157" s="30"/>
      <c r="N157" s="30"/>
      <c r="O157" s="30">
        <v>0</v>
      </c>
      <c r="P157" s="30">
        <v>1812556</v>
      </c>
      <c r="Q157" s="132">
        <v>2077305</v>
      </c>
      <c r="R157" s="132">
        <v>0</v>
      </c>
      <c r="S157" s="30">
        <v>1093020.224</v>
      </c>
      <c r="T157" s="30">
        <v>78925</v>
      </c>
      <c r="U157" s="30">
        <v>1718640</v>
      </c>
      <c r="V157" s="30">
        <v>0</v>
      </c>
      <c r="W157" s="29">
        <v>83474.246</v>
      </c>
      <c r="X157" s="30">
        <v>2002766.3469999998</v>
      </c>
      <c r="Y157" s="30">
        <v>978172</v>
      </c>
      <c r="Z157" s="30">
        <v>872490</v>
      </c>
      <c r="AA157" s="30">
        <v>620453.2</v>
      </c>
      <c r="AB157" s="30">
        <v>844822</v>
      </c>
      <c r="AC157" s="30">
        <v>1105883</v>
      </c>
      <c r="AD157" s="30">
        <v>11292</v>
      </c>
      <c r="AE157" s="30">
        <v>12938</v>
      </c>
      <c r="AF157" s="30">
        <v>671316.89</v>
      </c>
      <c r="AG157" s="30">
        <v>0</v>
      </c>
      <c r="AH157" s="30">
        <v>454874.268</v>
      </c>
      <c r="AI157" s="30">
        <f>484979</f>
        <v>484979</v>
      </c>
      <c r="AJ157" s="30">
        <v>41719</v>
      </c>
      <c r="AK157" s="30">
        <v>39718</v>
      </c>
      <c r="AL157" s="30">
        <v>10311</v>
      </c>
      <c r="AM157" s="30">
        <v>0</v>
      </c>
      <c r="AN157" s="30">
        <v>407708</v>
      </c>
      <c r="AO157" s="30">
        <v>0</v>
      </c>
      <c r="AP157" s="30">
        <v>89021.5</v>
      </c>
      <c r="AQ157" s="30">
        <v>0</v>
      </c>
      <c r="AR157" s="30">
        <v>143185</v>
      </c>
      <c r="AS157" s="30">
        <v>8719.783</v>
      </c>
      <c r="AT157" s="30">
        <v>523138</v>
      </c>
      <c r="AU157" s="30">
        <v>0</v>
      </c>
      <c r="AV157" s="30">
        <f>57095.205+23840.035-11725.399</f>
        <v>69209.841</v>
      </c>
      <c r="AW157" s="30">
        <v>0</v>
      </c>
      <c r="AX157" s="30">
        <v>69175</v>
      </c>
      <c r="AY157" s="30">
        <v>8430</v>
      </c>
      <c r="AZ157" s="30">
        <v>0</v>
      </c>
      <c r="BA157" s="30">
        <v>0</v>
      </c>
      <c r="BB157" s="30">
        <v>0</v>
      </c>
      <c r="BC157" s="30">
        <v>0</v>
      </c>
      <c r="BD157" s="30">
        <v>36014</v>
      </c>
      <c r="BE157" s="30">
        <v>41857</v>
      </c>
      <c r="BF157" s="30">
        <v>14670</v>
      </c>
      <c r="BG157" s="30">
        <v>0</v>
      </c>
      <c r="BH157" s="30">
        <v>0</v>
      </c>
      <c r="BI157" s="30">
        <v>0</v>
      </c>
      <c r="BK157" s="29">
        <f t="shared" si="42"/>
        <v>61422476.407</v>
      </c>
      <c r="BL157" s="29"/>
      <c r="BM157" s="29">
        <f t="shared" si="43"/>
        <v>10367276.624</v>
      </c>
      <c r="BN157" s="29">
        <f t="shared" si="44"/>
        <v>51055199.783</v>
      </c>
      <c r="BO157" s="30"/>
    </row>
    <row r="158" spans="1:67" ht="15" customHeight="1" hidden="1">
      <c r="A158" s="49" t="s">
        <v>429</v>
      </c>
      <c r="B158" s="30">
        <v>1186828</v>
      </c>
      <c r="C158" s="30">
        <v>3246642</v>
      </c>
      <c r="D158" s="30">
        <v>16533</v>
      </c>
      <c r="E158" s="30">
        <v>0</v>
      </c>
      <c r="F158" s="89">
        <v>4400161</v>
      </c>
      <c r="G158" s="30">
        <v>935234.452</v>
      </c>
      <c r="H158" s="30">
        <v>523034</v>
      </c>
      <c r="I158" s="30">
        <v>2133138</v>
      </c>
      <c r="J158" s="30">
        <v>0</v>
      </c>
      <c r="K158" s="30">
        <v>58067</v>
      </c>
      <c r="L158" s="30">
        <v>455085</v>
      </c>
      <c r="M158" s="30"/>
      <c r="N158" s="30"/>
      <c r="O158" s="30">
        <v>0</v>
      </c>
      <c r="P158" s="30">
        <v>1091675</v>
      </c>
      <c r="Q158" s="132">
        <v>588913</v>
      </c>
      <c r="R158" s="132">
        <v>0</v>
      </c>
      <c r="S158" s="30">
        <v>168949.517</v>
      </c>
      <c r="T158" s="30">
        <v>388700</v>
      </c>
      <c r="U158" s="30">
        <v>179470</v>
      </c>
      <c r="V158" s="30">
        <v>0</v>
      </c>
      <c r="W158" s="29">
        <v>0</v>
      </c>
      <c r="X158" s="30">
        <v>361981.702</v>
      </c>
      <c r="Y158" s="30">
        <v>364695</v>
      </c>
      <c r="Z158" s="30">
        <v>123280</v>
      </c>
      <c r="AA158" s="30">
        <v>0</v>
      </c>
      <c r="AB158" s="30">
        <v>291463</v>
      </c>
      <c r="AC158" s="30">
        <v>0</v>
      </c>
      <c r="AD158" s="30">
        <v>188676</v>
      </c>
      <c r="AE158" s="30">
        <v>34679</v>
      </c>
      <c r="AF158" s="30">
        <v>41165</v>
      </c>
      <c r="AG158" s="30">
        <v>0</v>
      </c>
      <c r="AH158" s="30">
        <v>108052</v>
      </c>
      <c r="AI158" s="30">
        <f>376618</f>
        <v>376618</v>
      </c>
      <c r="AJ158" s="30">
        <v>32399</v>
      </c>
      <c r="AK158" s="30">
        <v>0</v>
      </c>
      <c r="AL158" s="30">
        <v>224815</v>
      </c>
      <c r="AM158" s="30">
        <v>0</v>
      </c>
      <c r="AN158" s="30">
        <v>750</v>
      </c>
      <c r="AO158" s="30">
        <v>0</v>
      </c>
      <c r="AP158" s="30">
        <v>0</v>
      </c>
      <c r="AQ158" s="30">
        <v>0</v>
      </c>
      <c r="AR158" s="30">
        <v>8450</v>
      </c>
      <c r="AS158" s="30">
        <v>53215.63</v>
      </c>
      <c r="AT158" s="30">
        <v>0</v>
      </c>
      <c r="AU158" s="30">
        <v>0</v>
      </c>
      <c r="AV158" s="30">
        <v>60567</v>
      </c>
      <c r="AW158" s="30">
        <v>0</v>
      </c>
      <c r="AX158" s="30">
        <v>0</v>
      </c>
      <c r="AY158" s="30">
        <v>0</v>
      </c>
      <c r="AZ158" s="30">
        <v>0</v>
      </c>
      <c r="BA158" s="30">
        <v>0</v>
      </c>
      <c r="BB158" s="30">
        <v>19525</v>
      </c>
      <c r="BC158" s="30">
        <v>0</v>
      </c>
      <c r="BD158" s="30">
        <v>5700</v>
      </c>
      <c r="BE158" s="30">
        <v>0</v>
      </c>
      <c r="BF158" s="30">
        <v>0</v>
      </c>
      <c r="BG158" s="30">
        <v>0</v>
      </c>
      <c r="BH158" s="30">
        <v>0</v>
      </c>
      <c r="BI158" s="30">
        <v>0</v>
      </c>
      <c r="BK158" s="29">
        <f t="shared" si="42"/>
        <v>17668461.301</v>
      </c>
      <c r="BL158" s="29"/>
      <c r="BM158" s="29">
        <f t="shared" si="43"/>
        <v>4289378.63</v>
      </c>
      <c r="BN158" s="29">
        <f t="shared" si="44"/>
        <v>13379082.671</v>
      </c>
      <c r="BO158" s="30"/>
    </row>
    <row r="159" spans="1:67" ht="15" customHeight="1" hidden="1">
      <c r="A159" s="247" t="s">
        <v>430</v>
      </c>
      <c r="B159" s="30">
        <v>0</v>
      </c>
      <c r="C159" s="30">
        <v>0</v>
      </c>
      <c r="D159" s="30">
        <v>0</v>
      </c>
      <c r="E159" s="30">
        <v>0</v>
      </c>
      <c r="F159" s="89">
        <v>0</v>
      </c>
      <c r="G159" s="89">
        <v>0</v>
      </c>
      <c r="H159" s="89">
        <v>0</v>
      </c>
      <c r="I159" s="89">
        <v>0</v>
      </c>
      <c r="J159" s="89">
        <v>0</v>
      </c>
      <c r="K159" s="30">
        <v>175851</v>
      </c>
      <c r="L159" s="30">
        <v>0</v>
      </c>
      <c r="M159" s="30"/>
      <c r="N159" s="30"/>
      <c r="O159" s="30">
        <v>0</v>
      </c>
      <c r="P159" s="132">
        <v>0</v>
      </c>
      <c r="Q159" s="132">
        <v>0</v>
      </c>
      <c r="R159" s="132">
        <v>0</v>
      </c>
      <c r="S159" s="30">
        <v>7337.915</v>
      </c>
      <c r="T159" s="30">
        <v>0</v>
      </c>
      <c r="U159" s="30">
        <v>0</v>
      </c>
      <c r="V159" s="30">
        <v>0</v>
      </c>
      <c r="W159" s="42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13923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f>185639</f>
        <v>185639</v>
      </c>
      <c r="AJ159" s="30">
        <v>15713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400000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35148</v>
      </c>
      <c r="BF159" s="30">
        <v>0</v>
      </c>
      <c r="BG159" s="30">
        <v>0</v>
      </c>
      <c r="BH159" s="30">
        <v>0</v>
      </c>
      <c r="BI159" s="30">
        <v>0</v>
      </c>
      <c r="BK159" s="29">
        <f t="shared" si="42"/>
        <v>833611.915</v>
      </c>
      <c r="BL159" s="29"/>
      <c r="BM159" s="29">
        <f t="shared" si="43"/>
        <v>220787</v>
      </c>
      <c r="BN159" s="29">
        <f t="shared" si="44"/>
        <v>612824.915</v>
      </c>
      <c r="BO159" s="30"/>
    </row>
    <row r="160" spans="1:67" ht="15" customHeight="1" hidden="1">
      <c r="A160" s="247" t="s">
        <v>431</v>
      </c>
      <c r="B160" s="30">
        <v>0</v>
      </c>
      <c r="C160" s="30">
        <v>0</v>
      </c>
      <c r="D160" s="30">
        <v>0</v>
      </c>
      <c r="E160" s="30">
        <v>0</v>
      </c>
      <c r="F160" s="89">
        <v>16914</v>
      </c>
      <c r="G160" s="30">
        <v>40607.977</v>
      </c>
      <c r="H160" s="30">
        <v>45459</v>
      </c>
      <c r="I160" s="89">
        <v>0</v>
      </c>
      <c r="J160" s="89">
        <v>0</v>
      </c>
      <c r="K160" s="30">
        <v>10314</v>
      </c>
      <c r="L160" s="30">
        <v>2929</v>
      </c>
      <c r="M160" s="30"/>
      <c r="N160" s="30"/>
      <c r="O160" s="30">
        <v>0</v>
      </c>
      <c r="P160" s="30">
        <v>9641</v>
      </c>
      <c r="Q160" s="132">
        <v>81555</v>
      </c>
      <c r="R160" s="132">
        <v>0</v>
      </c>
      <c r="S160" s="30">
        <v>0</v>
      </c>
      <c r="T160" s="30">
        <v>0</v>
      </c>
      <c r="U160" s="30">
        <v>0</v>
      </c>
      <c r="V160" s="30">
        <v>0</v>
      </c>
      <c r="W160" s="42">
        <v>1096.698</v>
      </c>
      <c r="X160" s="30">
        <v>5816.995</v>
      </c>
      <c r="Y160" s="30">
        <v>0</v>
      </c>
      <c r="Z160" s="30">
        <v>0</v>
      </c>
      <c r="AA160" s="30">
        <v>957</v>
      </c>
      <c r="AB160" s="30">
        <v>971</v>
      </c>
      <c r="AC160" s="30">
        <v>3339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1543</v>
      </c>
      <c r="AJ160" s="30">
        <v>110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42556</v>
      </c>
      <c r="AY160" s="30">
        <v>0</v>
      </c>
      <c r="AZ160" s="30">
        <v>0</v>
      </c>
      <c r="BA160" s="30">
        <v>0</v>
      </c>
      <c r="BB160" s="30">
        <v>0</v>
      </c>
      <c r="BC160" s="30">
        <v>0</v>
      </c>
      <c r="BD160" s="30">
        <v>0</v>
      </c>
      <c r="BE160" s="30">
        <v>0</v>
      </c>
      <c r="BF160" s="30">
        <v>0</v>
      </c>
      <c r="BG160" s="30">
        <v>0</v>
      </c>
      <c r="BH160" s="30">
        <v>0</v>
      </c>
      <c r="BI160" s="30">
        <v>0</v>
      </c>
      <c r="BK160" s="29">
        <f t="shared" si="42"/>
        <v>263809.67000000004</v>
      </c>
      <c r="BL160" s="29"/>
      <c r="BM160" s="29">
        <f t="shared" si="43"/>
        <v>45070</v>
      </c>
      <c r="BN160" s="29">
        <f t="shared" si="44"/>
        <v>218739.67</v>
      </c>
      <c r="BO160" s="30"/>
    </row>
    <row r="161" spans="1:67" ht="15" customHeight="1" hidden="1">
      <c r="A161" s="247" t="s">
        <v>432</v>
      </c>
      <c r="B161" s="30">
        <v>4369</v>
      </c>
      <c r="C161" s="30">
        <v>9788</v>
      </c>
      <c r="D161" s="30">
        <v>0</v>
      </c>
      <c r="E161" s="30">
        <v>0</v>
      </c>
      <c r="F161" s="89">
        <v>0</v>
      </c>
      <c r="G161" s="30">
        <v>2674.835</v>
      </c>
      <c r="H161" s="89">
        <v>0</v>
      </c>
      <c r="I161" s="89">
        <v>0</v>
      </c>
      <c r="J161" s="89">
        <v>0</v>
      </c>
      <c r="K161" s="30">
        <v>80000</v>
      </c>
      <c r="L161" s="30">
        <v>0</v>
      </c>
      <c r="M161" s="30"/>
      <c r="N161" s="30"/>
      <c r="O161" s="30">
        <v>0</v>
      </c>
      <c r="P161" s="132">
        <v>0</v>
      </c>
      <c r="Q161" s="132">
        <v>0</v>
      </c>
      <c r="R161" s="132">
        <v>0</v>
      </c>
      <c r="S161" s="30">
        <v>0</v>
      </c>
      <c r="T161" s="30">
        <v>0</v>
      </c>
      <c r="U161" s="30">
        <v>24000</v>
      </c>
      <c r="V161" s="30">
        <v>0</v>
      </c>
      <c r="W161" s="42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6965.731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0</v>
      </c>
      <c r="BB161" s="30">
        <v>0</v>
      </c>
      <c r="BC161" s="30">
        <v>0</v>
      </c>
      <c r="BD161" s="30">
        <v>0</v>
      </c>
      <c r="BE161" s="30">
        <v>0</v>
      </c>
      <c r="BF161" s="30">
        <v>0</v>
      </c>
      <c r="BG161" s="30">
        <v>0</v>
      </c>
      <c r="BH161" s="30">
        <v>0</v>
      </c>
      <c r="BI161" s="30">
        <v>0</v>
      </c>
      <c r="BK161" s="29">
        <f t="shared" si="42"/>
        <v>127797.56599999999</v>
      </c>
      <c r="BL161" s="29"/>
      <c r="BM161" s="29">
        <f t="shared" si="43"/>
        <v>9788</v>
      </c>
      <c r="BN161" s="29">
        <f t="shared" si="44"/>
        <v>118009.566</v>
      </c>
      <c r="BO161" s="30"/>
    </row>
    <row r="162" spans="1:67" ht="15" customHeight="1" hidden="1">
      <c r="A162" s="248" t="s">
        <v>433</v>
      </c>
      <c r="B162" s="30">
        <v>0</v>
      </c>
      <c r="C162" s="30">
        <v>0</v>
      </c>
      <c r="D162" s="30">
        <v>0</v>
      </c>
      <c r="E162" s="30">
        <v>0</v>
      </c>
      <c r="F162" s="89">
        <v>0</v>
      </c>
      <c r="G162" s="89">
        <v>0</v>
      </c>
      <c r="H162" s="89">
        <v>0</v>
      </c>
      <c r="I162" s="89">
        <v>0</v>
      </c>
      <c r="J162" s="89">
        <v>0</v>
      </c>
      <c r="K162" s="30">
        <v>0</v>
      </c>
      <c r="L162" s="30">
        <v>0</v>
      </c>
      <c r="M162" s="30"/>
      <c r="N162" s="30"/>
      <c r="O162" s="132">
        <v>0</v>
      </c>
      <c r="P162" s="132">
        <v>0</v>
      </c>
      <c r="Q162" s="132">
        <v>0</v>
      </c>
      <c r="R162" s="132">
        <v>0</v>
      </c>
      <c r="S162" s="30">
        <v>0</v>
      </c>
      <c r="T162" s="30">
        <v>0</v>
      </c>
      <c r="U162" s="30">
        <v>0</v>
      </c>
      <c r="V162" s="30">
        <v>0</v>
      </c>
      <c r="W162" s="42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0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0</v>
      </c>
      <c r="BA162" s="30">
        <v>0</v>
      </c>
      <c r="BB162" s="30">
        <v>0</v>
      </c>
      <c r="BC162" s="30">
        <v>0</v>
      </c>
      <c r="BD162" s="30">
        <v>0</v>
      </c>
      <c r="BE162" s="30">
        <v>0</v>
      </c>
      <c r="BF162" s="30">
        <v>0</v>
      </c>
      <c r="BG162" s="30">
        <v>0</v>
      </c>
      <c r="BH162" s="30">
        <v>0</v>
      </c>
      <c r="BI162" s="30">
        <v>0</v>
      </c>
      <c r="BK162" s="29">
        <f t="shared" si="42"/>
        <v>0</v>
      </c>
      <c r="BL162" s="29"/>
      <c r="BM162" s="29">
        <f t="shared" si="43"/>
        <v>0</v>
      </c>
      <c r="BN162" s="29">
        <f t="shared" si="44"/>
        <v>0</v>
      </c>
      <c r="BO162" s="30"/>
    </row>
    <row r="163" spans="1:67" ht="15" customHeight="1">
      <c r="A163" s="119" t="s">
        <v>434</v>
      </c>
      <c r="B163" s="29">
        <f>SUM(B156:B162)</f>
        <v>10689841</v>
      </c>
      <c r="C163" s="29">
        <f>SUM(C156:C162)</f>
        <v>26604655</v>
      </c>
      <c r="D163" s="29">
        <f>SUM(D156:D162)</f>
        <v>16533</v>
      </c>
      <c r="E163" s="29">
        <f>SUM(E156:E162)</f>
        <v>0</v>
      </c>
      <c r="F163" s="29">
        <f>SUM(F156:F162)-444182</f>
        <v>18808999</v>
      </c>
      <c r="G163" s="29">
        <f aca="true" t="shared" si="51" ref="G163:AL163">SUM(G156:G162)</f>
        <v>10604574.773</v>
      </c>
      <c r="H163" s="29">
        <f t="shared" si="51"/>
        <v>7903828</v>
      </c>
      <c r="I163" s="29">
        <f t="shared" si="51"/>
        <v>15344297</v>
      </c>
      <c r="J163" s="29">
        <f t="shared" si="51"/>
        <v>0</v>
      </c>
      <c r="K163" s="29">
        <f t="shared" si="51"/>
        <v>13388627</v>
      </c>
      <c r="L163" s="29">
        <f t="shared" si="51"/>
        <v>3372071</v>
      </c>
      <c r="M163" s="29">
        <f t="shared" si="51"/>
        <v>0</v>
      </c>
      <c r="N163" s="29">
        <f t="shared" si="51"/>
        <v>0</v>
      </c>
      <c r="O163" s="29">
        <f t="shared" si="51"/>
        <v>2906745</v>
      </c>
      <c r="P163" s="29">
        <f t="shared" si="51"/>
        <v>4872677</v>
      </c>
      <c r="Q163" s="29">
        <f t="shared" si="51"/>
        <v>4519305</v>
      </c>
      <c r="R163" s="29">
        <f t="shared" si="51"/>
        <v>0</v>
      </c>
      <c r="S163" s="29">
        <f t="shared" si="51"/>
        <v>15329244.347</v>
      </c>
      <c r="T163" s="29">
        <f t="shared" si="51"/>
        <v>1699700</v>
      </c>
      <c r="U163" s="29">
        <f t="shared" si="51"/>
        <v>3299976</v>
      </c>
      <c r="V163" s="29">
        <f t="shared" si="51"/>
        <v>27003</v>
      </c>
      <c r="W163" s="29">
        <f t="shared" si="51"/>
        <v>892169.237</v>
      </c>
      <c r="X163" s="29">
        <f t="shared" si="51"/>
        <v>2420255.9439999997</v>
      </c>
      <c r="Y163" s="29">
        <f t="shared" si="51"/>
        <v>6143788</v>
      </c>
      <c r="Z163" s="29">
        <f t="shared" si="51"/>
        <v>8427255</v>
      </c>
      <c r="AA163" s="29">
        <f t="shared" si="51"/>
        <v>1704474</v>
      </c>
      <c r="AB163" s="29">
        <f t="shared" si="51"/>
        <v>3260537</v>
      </c>
      <c r="AC163" s="29">
        <f t="shared" si="51"/>
        <v>1676817</v>
      </c>
      <c r="AD163" s="29">
        <f t="shared" si="51"/>
        <v>6837415</v>
      </c>
      <c r="AE163" s="29">
        <f t="shared" si="51"/>
        <v>449157</v>
      </c>
      <c r="AF163" s="29">
        <f t="shared" si="51"/>
        <v>712481.89</v>
      </c>
      <c r="AG163" s="29">
        <f t="shared" si="51"/>
        <v>783220.437</v>
      </c>
      <c r="AH163" s="29">
        <f t="shared" si="51"/>
        <v>1945372.7099999997</v>
      </c>
      <c r="AI163" s="29">
        <f t="shared" si="51"/>
        <v>3941915</v>
      </c>
      <c r="AJ163" s="29">
        <f t="shared" si="51"/>
        <v>314214</v>
      </c>
      <c r="AK163" s="29">
        <f t="shared" si="51"/>
        <v>317827</v>
      </c>
      <c r="AL163" s="29">
        <f t="shared" si="51"/>
        <v>530599</v>
      </c>
      <c r="AM163" s="29">
        <f aca="true" t="shared" si="52" ref="AM163:BI163">SUM(AM156:AM162)</f>
        <v>1057087</v>
      </c>
      <c r="AN163" s="29">
        <f t="shared" si="52"/>
        <v>423478</v>
      </c>
      <c r="AO163" s="29">
        <f t="shared" si="52"/>
        <v>0</v>
      </c>
      <c r="AP163" s="29">
        <f t="shared" si="52"/>
        <v>96988.8</v>
      </c>
      <c r="AQ163" s="29">
        <f t="shared" si="52"/>
        <v>1404089</v>
      </c>
      <c r="AR163" s="29">
        <f t="shared" si="52"/>
        <v>809101</v>
      </c>
      <c r="AS163" s="29">
        <f t="shared" si="52"/>
        <v>353433.473</v>
      </c>
      <c r="AT163" s="29">
        <f t="shared" si="52"/>
        <v>2220380</v>
      </c>
      <c r="AU163" s="29">
        <f t="shared" si="52"/>
        <v>114011</v>
      </c>
      <c r="AV163" s="29">
        <f t="shared" si="52"/>
        <v>132131.923</v>
      </c>
      <c r="AW163" s="29">
        <f t="shared" si="52"/>
        <v>545875</v>
      </c>
      <c r="AX163" s="29">
        <f t="shared" si="52"/>
        <v>312073</v>
      </c>
      <c r="AY163" s="29">
        <f t="shared" si="52"/>
        <v>523102</v>
      </c>
      <c r="AZ163" s="29">
        <f t="shared" si="52"/>
        <v>316690</v>
      </c>
      <c r="BA163" s="29">
        <f t="shared" si="52"/>
        <v>442566.425</v>
      </c>
      <c r="BB163" s="29">
        <f t="shared" si="52"/>
        <v>393762</v>
      </c>
      <c r="BC163" s="29">
        <f t="shared" si="52"/>
        <v>480505</v>
      </c>
      <c r="BD163" s="29">
        <f t="shared" si="52"/>
        <v>41714</v>
      </c>
      <c r="BE163" s="29">
        <f t="shared" si="52"/>
        <v>144228</v>
      </c>
      <c r="BF163" s="29">
        <f t="shared" si="52"/>
        <v>72922</v>
      </c>
      <c r="BG163" s="29">
        <f t="shared" si="52"/>
        <v>0</v>
      </c>
      <c r="BH163" s="29">
        <f t="shared" si="52"/>
        <v>0</v>
      </c>
      <c r="BI163" s="29">
        <f t="shared" si="52"/>
        <v>0</v>
      </c>
      <c r="BK163" s="29">
        <f t="shared" si="42"/>
        <v>189629711.95900002</v>
      </c>
      <c r="BL163" s="29"/>
      <c r="BM163" s="29">
        <f t="shared" si="43"/>
        <v>37342978.396</v>
      </c>
      <c r="BN163" s="29">
        <f t="shared" si="44"/>
        <v>152286733.56300002</v>
      </c>
      <c r="BO163" s="30"/>
    </row>
    <row r="164" spans="1:67" ht="15" customHeight="1" hidden="1">
      <c r="A164" s="247"/>
      <c r="F164" s="89"/>
      <c r="Q164" s="33"/>
      <c r="R164" s="33"/>
      <c r="X164" s="30"/>
      <c r="BK164" s="29"/>
      <c r="BL164" s="29"/>
      <c r="BM164" s="29"/>
      <c r="BN164" s="29"/>
      <c r="BO164" s="30"/>
    </row>
    <row r="165" spans="1:67" ht="15" customHeight="1">
      <c r="A165" s="259" t="s">
        <v>435</v>
      </c>
      <c r="B165" s="29">
        <f>+B153-B163</f>
        <v>91779</v>
      </c>
      <c r="C165" s="29">
        <f aca="true" t="shared" si="53" ref="C165:BI165">+C153-C163</f>
        <v>29489</v>
      </c>
      <c r="D165" s="29">
        <f t="shared" si="53"/>
        <v>34445</v>
      </c>
      <c r="E165" s="29">
        <f t="shared" si="53"/>
        <v>9468</v>
      </c>
      <c r="F165" s="29">
        <f t="shared" si="53"/>
        <v>901901</v>
      </c>
      <c r="G165" s="29">
        <f t="shared" si="53"/>
        <v>404818.9959999975</v>
      </c>
      <c r="H165" s="29">
        <f t="shared" si="53"/>
        <v>156714</v>
      </c>
      <c r="I165" s="29">
        <f t="shared" si="53"/>
        <v>-43258</v>
      </c>
      <c r="J165" s="29">
        <f t="shared" si="53"/>
        <v>0</v>
      </c>
      <c r="K165" s="29">
        <f t="shared" si="53"/>
        <v>397255</v>
      </c>
      <c r="L165" s="29">
        <f t="shared" si="53"/>
        <v>121914.4419999998</v>
      </c>
      <c r="M165" s="29">
        <f t="shared" si="53"/>
        <v>0</v>
      </c>
      <c r="N165" s="29">
        <f t="shared" si="53"/>
        <v>0</v>
      </c>
      <c r="O165" s="29">
        <f t="shared" si="53"/>
        <v>48371</v>
      </c>
      <c r="P165" s="29">
        <f t="shared" si="53"/>
        <v>37620</v>
      </c>
      <c r="Q165" s="29">
        <f t="shared" si="53"/>
        <v>-36907</v>
      </c>
      <c r="R165" s="29">
        <f t="shared" si="53"/>
        <v>0</v>
      </c>
      <c r="S165" s="29">
        <f t="shared" si="53"/>
        <v>-57883.846999999136</v>
      </c>
      <c r="T165" s="29">
        <f t="shared" si="53"/>
        <v>29129</v>
      </c>
      <c r="U165" s="29">
        <f t="shared" si="53"/>
        <v>-309</v>
      </c>
      <c r="V165" s="29">
        <f t="shared" si="53"/>
        <v>9732</v>
      </c>
      <c r="W165" s="29">
        <f t="shared" si="53"/>
        <v>-1137.9569999999367</v>
      </c>
      <c r="X165" s="29">
        <f t="shared" si="53"/>
        <v>-9469.7919999999</v>
      </c>
      <c r="Y165" s="29">
        <f t="shared" si="53"/>
        <v>-439051</v>
      </c>
      <c r="Z165" s="29">
        <f t="shared" si="53"/>
        <v>9388</v>
      </c>
      <c r="AA165" s="29">
        <f t="shared" si="53"/>
        <v>-2029.2000000001863</v>
      </c>
      <c r="AB165" s="29">
        <f t="shared" si="53"/>
        <v>0</v>
      </c>
      <c r="AC165" s="29">
        <f t="shared" si="53"/>
        <v>16052</v>
      </c>
      <c r="AD165" s="29">
        <f t="shared" si="53"/>
        <v>750</v>
      </c>
      <c r="AE165" s="29">
        <f t="shared" si="53"/>
        <v>11878</v>
      </c>
      <c r="AF165" s="29">
        <f t="shared" si="53"/>
        <v>-42205.74100000004</v>
      </c>
      <c r="AG165" s="29">
        <f t="shared" si="53"/>
        <v>287.58199999993667</v>
      </c>
      <c r="AH165" s="29">
        <f t="shared" si="53"/>
        <v>-48470.93299999973</v>
      </c>
      <c r="AI165" s="29">
        <f t="shared" si="53"/>
        <v>12060</v>
      </c>
      <c r="AJ165" s="29">
        <f t="shared" si="53"/>
        <v>941</v>
      </c>
      <c r="AK165" s="29">
        <f t="shared" si="53"/>
        <v>-11073</v>
      </c>
      <c r="AL165" s="29">
        <f t="shared" si="53"/>
        <v>44815</v>
      </c>
      <c r="AM165" s="29">
        <f t="shared" si="53"/>
        <v>-50</v>
      </c>
      <c r="AN165" s="29">
        <f t="shared" si="53"/>
        <v>5165</v>
      </c>
      <c r="AO165" s="29">
        <f t="shared" si="53"/>
        <v>2605</v>
      </c>
      <c r="AP165" s="29">
        <f t="shared" si="53"/>
        <v>151258.3</v>
      </c>
      <c r="AQ165" s="29">
        <f t="shared" si="53"/>
        <v>-8723</v>
      </c>
      <c r="AR165" s="29">
        <f t="shared" si="53"/>
        <v>-9039</v>
      </c>
      <c r="AS165" s="29">
        <f t="shared" si="53"/>
        <v>-2791.0840000000317</v>
      </c>
      <c r="AT165" s="29">
        <f t="shared" si="53"/>
        <v>8203</v>
      </c>
      <c r="AU165" s="29">
        <f t="shared" si="53"/>
        <v>2</v>
      </c>
      <c r="AV165" s="29">
        <f t="shared" si="53"/>
        <v>21722.37399999998</v>
      </c>
      <c r="AW165" s="29">
        <f t="shared" si="53"/>
        <v>-1677</v>
      </c>
      <c r="AX165" s="29">
        <f t="shared" si="53"/>
        <v>-20647</v>
      </c>
      <c r="AY165" s="29">
        <f t="shared" si="53"/>
        <v>60</v>
      </c>
      <c r="AZ165" s="29">
        <f t="shared" si="53"/>
        <v>253</v>
      </c>
      <c r="BA165" s="29">
        <f t="shared" si="53"/>
        <v>218190.37900000013</v>
      </c>
      <c r="BB165" s="29">
        <f t="shared" si="53"/>
        <v>8017</v>
      </c>
      <c r="BC165" s="29">
        <f t="shared" si="53"/>
        <v>-1017</v>
      </c>
      <c r="BD165" s="29">
        <f t="shared" si="53"/>
        <v>-7337</v>
      </c>
      <c r="BE165" s="29">
        <f t="shared" si="53"/>
        <v>-30627</v>
      </c>
      <c r="BF165" s="29">
        <f t="shared" si="53"/>
        <v>-6069</v>
      </c>
      <c r="BG165" s="29">
        <f t="shared" si="53"/>
        <v>10615</v>
      </c>
      <c r="BH165" s="29">
        <f t="shared" si="53"/>
        <v>3338.4029999999984</v>
      </c>
      <c r="BI165" s="29">
        <f t="shared" si="53"/>
        <v>1750.8400000000004</v>
      </c>
      <c r="BK165" s="29">
        <f t="shared" si="42"/>
        <v>2020215.7619999987</v>
      </c>
      <c r="BL165" s="29"/>
      <c r="BM165" s="29">
        <f t="shared" si="43"/>
        <v>116450.69299999994</v>
      </c>
      <c r="BN165" s="29">
        <f t="shared" si="44"/>
        <v>1903765.0689999987</v>
      </c>
      <c r="BO165" s="30"/>
    </row>
    <row r="166" spans="1:67" ht="15" customHeight="1" hidden="1">
      <c r="A166" s="247"/>
      <c r="F166" s="89"/>
      <c r="Q166" s="33"/>
      <c r="R166" s="33"/>
      <c r="X166" s="30"/>
      <c r="BK166" s="29"/>
      <c r="BL166" s="29"/>
      <c r="BM166" s="29"/>
      <c r="BN166" s="29"/>
      <c r="BO166" s="30"/>
    </row>
    <row r="167" spans="1:67" ht="15" customHeight="1">
      <c r="A167" s="259" t="s">
        <v>436</v>
      </c>
      <c r="B167" s="29">
        <v>273837</v>
      </c>
      <c r="C167" s="29">
        <v>207375</v>
      </c>
      <c r="D167" s="29">
        <v>80129</v>
      </c>
      <c r="E167" s="29">
        <v>21262</v>
      </c>
      <c r="F167" s="89">
        <v>435557</v>
      </c>
      <c r="G167" s="29">
        <v>155267.291</v>
      </c>
      <c r="H167" s="29">
        <v>133927</v>
      </c>
      <c r="I167" s="29">
        <v>376962</v>
      </c>
      <c r="J167" s="29"/>
      <c r="K167" s="29">
        <v>626632</v>
      </c>
      <c r="L167" s="29">
        <v>159280</v>
      </c>
      <c r="M167" s="29"/>
      <c r="N167" s="29"/>
      <c r="O167" s="29">
        <v>4446</v>
      </c>
      <c r="P167" s="29">
        <v>113416</v>
      </c>
      <c r="Q167" s="29">
        <v>235704</v>
      </c>
      <c r="R167" s="29">
        <v>0</v>
      </c>
      <c r="S167" s="29">
        <v>192443.678</v>
      </c>
      <c r="T167" s="29">
        <v>46109</v>
      </c>
      <c r="U167" s="29">
        <v>71600</v>
      </c>
      <c r="V167" s="29">
        <v>104589</v>
      </c>
      <c r="W167" s="29">
        <v>19256</v>
      </c>
      <c r="X167" s="30">
        <v>11886.745</v>
      </c>
      <c r="Y167" s="29">
        <v>560767</v>
      </c>
      <c r="Z167" s="29">
        <v>65852</v>
      </c>
      <c r="AA167" s="29">
        <v>20669</v>
      </c>
      <c r="AB167" s="29">
        <v>0</v>
      </c>
      <c r="AC167" s="29">
        <v>327705</v>
      </c>
      <c r="AD167" s="29">
        <v>21738</v>
      </c>
      <c r="AE167" s="29">
        <v>3709</v>
      </c>
      <c r="AF167" s="29">
        <v>161934.624</v>
      </c>
      <c r="AG167" s="29">
        <v>55.975</v>
      </c>
      <c r="AH167" s="29">
        <v>169076.368</v>
      </c>
      <c r="AI167" s="29">
        <v>11817</v>
      </c>
      <c r="AJ167" s="29">
        <v>1113</v>
      </c>
      <c r="AK167" s="29">
        <v>31772</v>
      </c>
      <c r="AL167" s="29">
        <v>88554</v>
      </c>
      <c r="AM167" s="29">
        <v>8244</v>
      </c>
      <c r="AN167" s="29">
        <v>3598</v>
      </c>
      <c r="AO167" s="29">
        <v>579</v>
      </c>
      <c r="AP167" s="29">
        <v>662687</v>
      </c>
      <c r="AQ167" s="29">
        <v>9851</v>
      </c>
      <c r="AR167" s="29">
        <v>29474</v>
      </c>
      <c r="AS167" s="29">
        <v>38979.133</v>
      </c>
      <c r="AT167" s="29">
        <v>3434</v>
      </c>
      <c r="AU167" s="29">
        <v>0.5</v>
      </c>
      <c r="AV167" s="29">
        <v>14568.774</v>
      </c>
      <c r="AW167" s="29">
        <v>1937</v>
      </c>
      <c r="AX167" s="29">
        <v>22069</v>
      </c>
      <c r="AY167" s="29">
        <v>176</v>
      </c>
      <c r="AZ167" s="29">
        <v>568</v>
      </c>
      <c r="BA167" s="29">
        <v>10053</v>
      </c>
      <c r="BB167" s="29">
        <v>36702</v>
      </c>
      <c r="BC167" s="29">
        <v>1301</v>
      </c>
      <c r="BD167" s="29">
        <v>25909</v>
      </c>
      <c r="BE167" s="29">
        <v>37778</v>
      </c>
      <c r="BF167" s="29">
        <v>8920</v>
      </c>
      <c r="BG167" s="29">
        <v>27496</v>
      </c>
      <c r="BH167" s="29">
        <v>36684.759</v>
      </c>
      <c r="BI167" s="29">
        <v>65.811</v>
      </c>
      <c r="BK167" s="29">
        <f t="shared" si="42"/>
        <v>5715516.657999999</v>
      </c>
      <c r="BL167" s="29"/>
      <c r="BM167" s="29">
        <f t="shared" si="43"/>
        <v>641333.666</v>
      </c>
      <c r="BN167" s="29">
        <f t="shared" si="44"/>
        <v>5074182.992</v>
      </c>
      <c r="BO167" s="30"/>
    </row>
    <row r="168" spans="1:67" ht="15" customHeight="1">
      <c r="A168" s="247"/>
      <c r="F168" s="89"/>
      <c r="Q168" s="33"/>
      <c r="R168" s="33"/>
      <c r="X168" s="30"/>
      <c r="BK168" s="29"/>
      <c r="BL168" s="29"/>
      <c r="BM168" s="29"/>
      <c r="BN168" s="29"/>
      <c r="BO168" s="30"/>
    </row>
    <row r="169" spans="1:67" s="105" customFormat="1" ht="15" customHeight="1">
      <c r="A169" s="262" t="s">
        <v>437</v>
      </c>
      <c r="B169" s="36">
        <f>+B165+B167</f>
        <v>365616</v>
      </c>
      <c r="C169" s="36">
        <f aca="true" t="shared" si="54" ref="C169:BI169">+C165+C167</f>
        <v>236864</v>
      </c>
      <c r="D169" s="36">
        <f t="shared" si="54"/>
        <v>114574</v>
      </c>
      <c r="E169" s="36">
        <f t="shared" si="54"/>
        <v>30730</v>
      </c>
      <c r="F169" s="36">
        <f t="shared" si="54"/>
        <v>1337458</v>
      </c>
      <c r="G169" s="36">
        <f t="shared" si="54"/>
        <v>560086.2869999975</v>
      </c>
      <c r="H169" s="36">
        <f t="shared" si="54"/>
        <v>290641</v>
      </c>
      <c r="I169" s="36">
        <f t="shared" si="54"/>
        <v>333704</v>
      </c>
      <c r="J169" s="36">
        <f t="shared" si="54"/>
        <v>0</v>
      </c>
      <c r="K169" s="36">
        <f t="shared" si="54"/>
        <v>1023887</v>
      </c>
      <c r="L169" s="36">
        <f t="shared" si="54"/>
        <v>281194.4419999998</v>
      </c>
      <c r="M169" s="36">
        <f t="shared" si="54"/>
        <v>0</v>
      </c>
      <c r="N169" s="36">
        <f t="shared" si="54"/>
        <v>0</v>
      </c>
      <c r="O169" s="36">
        <f t="shared" si="54"/>
        <v>52817</v>
      </c>
      <c r="P169" s="36">
        <f t="shared" si="54"/>
        <v>151036</v>
      </c>
      <c r="Q169" s="36">
        <f t="shared" si="54"/>
        <v>198797</v>
      </c>
      <c r="R169" s="36">
        <f t="shared" si="54"/>
        <v>0</v>
      </c>
      <c r="S169" s="36">
        <f t="shared" si="54"/>
        <v>134559.83100000088</v>
      </c>
      <c r="T169" s="36">
        <f t="shared" si="54"/>
        <v>75238</v>
      </c>
      <c r="U169" s="36">
        <f t="shared" si="54"/>
        <v>71291</v>
      </c>
      <c r="V169" s="36">
        <f t="shared" si="54"/>
        <v>114321</v>
      </c>
      <c r="W169" s="36">
        <f t="shared" si="54"/>
        <v>18118.043000000063</v>
      </c>
      <c r="X169" s="36">
        <f t="shared" si="54"/>
        <v>2416.9530000001014</v>
      </c>
      <c r="Y169" s="36">
        <f t="shared" si="54"/>
        <v>121716</v>
      </c>
      <c r="Z169" s="36">
        <f t="shared" si="54"/>
        <v>75240</v>
      </c>
      <c r="AA169" s="36">
        <f t="shared" si="54"/>
        <v>18639.799999999814</v>
      </c>
      <c r="AB169" s="36">
        <f t="shared" si="54"/>
        <v>0</v>
      </c>
      <c r="AC169" s="36">
        <f t="shared" si="54"/>
        <v>343757</v>
      </c>
      <c r="AD169" s="36">
        <f t="shared" si="54"/>
        <v>22488</v>
      </c>
      <c r="AE169" s="36">
        <f t="shared" si="54"/>
        <v>15587</v>
      </c>
      <c r="AF169" s="36">
        <f t="shared" si="54"/>
        <v>119728.88299999997</v>
      </c>
      <c r="AG169" s="36">
        <f t="shared" si="54"/>
        <v>343.5569999999367</v>
      </c>
      <c r="AH169" s="36">
        <f t="shared" si="54"/>
        <v>120605.43500000026</v>
      </c>
      <c r="AI169" s="36">
        <f t="shared" si="54"/>
        <v>23877</v>
      </c>
      <c r="AJ169" s="36">
        <f t="shared" si="54"/>
        <v>2054</v>
      </c>
      <c r="AK169" s="36">
        <f t="shared" si="54"/>
        <v>20699</v>
      </c>
      <c r="AL169" s="36">
        <f t="shared" si="54"/>
        <v>133369</v>
      </c>
      <c r="AM169" s="36">
        <f t="shared" si="54"/>
        <v>8194</v>
      </c>
      <c r="AN169" s="36">
        <f t="shared" si="54"/>
        <v>8763</v>
      </c>
      <c r="AO169" s="36">
        <f t="shared" si="54"/>
        <v>3184</v>
      </c>
      <c r="AP169" s="36">
        <f t="shared" si="54"/>
        <v>813945.3</v>
      </c>
      <c r="AQ169" s="36">
        <f t="shared" si="54"/>
        <v>1128</v>
      </c>
      <c r="AR169" s="36">
        <f t="shared" si="54"/>
        <v>20435</v>
      </c>
      <c r="AS169" s="36">
        <f t="shared" si="54"/>
        <v>36188.04899999997</v>
      </c>
      <c r="AT169" s="36">
        <f t="shared" si="54"/>
        <v>11637</v>
      </c>
      <c r="AU169" s="36">
        <f t="shared" si="54"/>
        <v>2.5</v>
      </c>
      <c r="AV169" s="36">
        <f t="shared" si="54"/>
        <v>36291.14799999998</v>
      </c>
      <c r="AW169" s="36">
        <f t="shared" si="54"/>
        <v>260</v>
      </c>
      <c r="AX169" s="36">
        <f t="shared" si="54"/>
        <v>1422</v>
      </c>
      <c r="AY169" s="36">
        <f t="shared" si="54"/>
        <v>236</v>
      </c>
      <c r="AZ169" s="36">
        <f t="shared" si="54"/>
        <v>821</v>
      </c>
      <c r="BA169" s="36">
        <f t="shared" si="54"/>
        <v>228243.37900000013</v>
      </c>
      <c r="BB169" s="36">
        <f t="shared" si="54"/>
        <v>44719</v>
      </c>
      <c r="BC169" s="36">
        <f t="shared" si="54"/>
        <v>284</v>
      </c>
      <c r="BD169" s="36">
        <f t="shared" si="54"/>
        <v>18572</v>
      </c>
      <c r="BE169" s="36">
        <f t="shared" si="54"/>
        <v>7151</v>
      </c>
      <c r="BF169" s="36">
        <f t="shared" si="54"/>
        <v>2851</v>
      </c>
      <c r="BG169" s="36">
        <f t="shared" si="54"/>
        <v>38111</v>
      </c>
      <c r="BH169" s="36">
        <f t="shared" si="54"/>
        <v>40023.162</v>
      </c>
      <c r="BI169" s="36">
        <f t="shared" si="54"/>
        <v>1816.6510000000003</v>
      </c>
      <c r="BK169" s="36">
        <f t="shared" si="42"/>
        <v>7735732.419999997</v>
      </c>
      <c r="BL169" s="36"/>
      <c r="BM169" s="36">
        <f t="shared" si="43"/>
        <v>757784.3589999999</v>
      </c>
      <c r="BN169" s="36">
        <f t="shared" si="44"/>
        <v>6977948.060999998</v>
      </c>
      <c r="BO169" s="148"/>
    </row>
    <row r="170" spans="63:66" ht="15" customHeight="1">
      <c r="BK170" s="29"/>
      <c r="BL170" s="29"/>
      <c r="BM170" s="29"/>
      <c r="BN170" s="29"/>
    </row>
  </sheetData>
  <mergeCells count="27">
    <mergeCell ref="B1:E1"/>
    <mergeCell ref="B2:E2"/>
    <mergeCell ref="B4:E4"/>
    <mergeCell ref="I4:J4"/>
    <mergeCell ref="I1:J1"/>
    <mergeCell ref="I2:J2"/>
    <mergeCell ref="I3:J3"/>
    <mergeCell ref="M4:N4"/>
    <mergeCell ref="M1:N1"/>
    <mergeCell ref="M2:N2"/>
    <mergeCell ref="M3:N3"/>
    <mergeCell ref="Q1:R1"/>
    <mergeCell ref="Q2:R2"/>
    <mergeCell ref="Q3:R3"/>
    <mergeCell ref="Q4:R4"/>
    <mergeCell ref="U1:V1"/>
    <mergeCell ref="U2:V2"/>
    <mergeCell ref="U3:V3"/>
    <mergeCell ref="U4:V4"/>
    <mergeCell ref="AI1:AJ1"/>
    <mergeCell ref="AI2:AJ2"/>
    <mergeCell ref="AI3:AJ3"/>
    <mergeCell ref="AI4:AJ4"/>
    <mergeCell ref="AN1:AO1"/>
    <mergeCell ref="AN2:AO2"/>
    <mergeCell ref="AN3:AO3"/>
    <mergeCell ref="AN4:AO4"/>
  </mergeCells>
  <printOptions/>
  <pageMargins left="0.4724409448818898" right="0.2" top="0.8661417322834646" bottom="0" header="0.2" footer="0.11811023622047245"/>
  <pageSetup firstPageNumber="39" useFirstPageNumber="1" horizontalDpi="600" verticalDpi="600" orientation="portrait" paperSize="9" scale="96" r:id="rId3"/>
  <headerFooter alignWithMargins="0">
    <oddHeader>&amp;C&amp;"Times New Roman,Bold"&amp;14 4.1. MUTUAL INSURANCE DIVISIONS      
CHANGES, BALANCE SHEETS AND CASH FLOW 2002</oddHeader>
    <oddFooter>&amp;R&amp;"Times New Roman,Regular"&amp;P</oddFooter>
  </headerFooter>
  <colBreaks count="1" manualBreakCount="1">
    <brk id="55" max="168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E106"/>
  <sheetViews>
    <sheetView workbookViewId="0" topLeftCell="A1">
      <pane xSplit="2" ySplit="6" topLeftCell="B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K19" sqref="BK19"/>
    </sheetView>
  </sheetViews>
  <sheetFormatPr defaultColWidth="9.140625" defaultRowHeight="12.75"/>
  <cols>
    <col min="1" max="1" width="31.00390625" style="14" customWidth="1"/>
    <col min="2" max="2" width="2.421875" style="231" customWidth="1"/>
    <col min="3" max="3" width="8.57421875" style="1" customWidth="1"/>
    <col min="4" max="5" width="10.00390625" style="1" customWidth="1"/>
    <col min="6" max="6" width="9.140625" style="1" customWidth="1"/>
    <col min="7" max="7" width="9.57421875" style="1" customWidth="1"/>
    <col min="8" max="8" width="9.7109375" style="1" customWidth="1"/>
    <col min="9" max="10" width="9.421875" style="1" customWidth="1"/>
    <col min="11" max="11" width="9.28125" style="1" customWidth="1"/>
    <col min="12" max="12" width="10.7109375" style="1" customWidth="1"/>
    <col min="13" max="13" width="9.28125" style="1" customWidth="1"/>
    <col min="14" max="15" width="9.00390625" style="93" customWidth="1"/>
    <col min="16" max="16" width="9.00390625" style="1" customWidth="1"/>
    <col min="17" max="17" width="9.28125" style="93" customWidth="1"/>
    <col min="18" max="18" width="8.8515625" style="93" customWidth="1"/>
    <col min="19" max="19" width="10.140625" style="93" customWidth="1"/>
    <col min="20" max="21" width="9.7109375" style="1" customWidth="1"/>
    <col min="22" max="22" width="9.140625" style="1" customWidth="1"/>
    <col min="23" max="23" width="8.28125" style="1" customWidth="1"/>
    <col min="24" max="24" width="9.7109375" style="1" customWidth="1"/>
    <col min="25" max="25" width="8.57421875" style="93" customWidth="1"/>
    <col min="26" max="27" width="9.7109375" style="1" customWidth="1"/>
    <col min="28" max="29" width="9.28125" style="1" customWidth="1"/>
    <col min="30" max="30" width="8.00390625" style="1" customWidth="1"/>
    <col min="31" max="31" width="9.8515625" style="1" customWidth="1"/>
    <col min="32" max="32" width="10.7109375" style="1" customWidth="1"/>
    <col min="33" max="33" width="9.7109375" style="1" customWidth="1"/>
    <col min="34" max="34" width="9.00390625" style="1" customWidth="1"/>
    <col min="35" max="35" width="9.57421875" style="1" customWidth="1"/>
    <col min="36" max="36" width="8.140625" style="1" customWidth="1"/>
    <col min="37" max="37" width="8.7109375" style="1" customWidth="1"/>
    <col min="38" max="38" width="9.00390625" style="1" customWidth="1"/>
    <col min="39" max="39" width="9.140625" style="1" customWidth="1"/>
    <col min="40" max="40" width="10.140625" style="1" customWidth="1"/>
    <col min="41" max="42" width="9.00390625" style="1" customWidth="1"/>
    <col min="43" max="43" width="9.421875" style="1" customWidth="1"/>
    <col min="44" max="44" width="9.28125" style="1" customWidth="1"/>
    <col min="45" max="45" width="9.140625" style="1" customWidth="1"/>
    <col min="46" max="46" width="9.8515625" style="93" customWidth="1"/>
    <col min="47" max="47" width="10.7109375" style="1" customWidth="1"/>
    <col min="48" max="48" width="9.57421875" style="1" customWidth="1"/>
    <col min="49" max="49" width="10.421875" style="1" customWidth="1"/>
    <col min="50" max="50" width="10.00390625" style="1" customWidth="1"/>
    <col min="51" max="51" width="10.421875" style="93" customWidth="1"/>
    <col min="52" max="52" width="9.57421875" style="1" customWidth="1"/>
    <col min="53" max="53" width="10.421875" style="1" customWidth="1"/>
    <col min="54" max="54" width="10.140625" style="1" customWidth="1"/>
    <col min="55" max="55" width="10.7109375" style="1" bestFit="1" customWidth="1"/>
    <col min="56" max="56" width="10.28125" style="1" customWidth="1"/>
    <col min="57" max="57" width="9.7109375" style="1" customWidth="1"/>
    <col min="58" max="58" width="12.57421875" style="1" customWidth="1"/>
    <col min="59" max="59" width="11.140625" style="1" customWidth="1"/>
    <col min="60" max="60" width="11.8515625" style="1" customWidth="1"/>
    <col min="61" max="61" width="10.7109375" style="93" customWidth="1"/>
    <col min="62" max="62" width="10.140625" style="1" customWidth="1"/>
    <col min="63" max="63" width="5.421875" style="1" customWidth="1"/>
    <col min="64" max="64" width="11.00390625" style="1" customWidth="1"/>
    <col min="65" max="65" width="6.28125" style="1" customWidth="1"/>
    <col min="66" max="66" width="11.00390625" style="1" customWidth="1"/>
    <col min="67" max="68" width="11.421875" style="1" customWidth="1"/>
    <col min="69" max="69" width="14.00390625" style="1" customWidth="1"/>
    <col min="70" max="16384" width="9.140625" style="1" customWidth="1"/>
  </cols>
  <sheetData>
    <row r="1" spans="1:68" s="42" customFormat="1" ht="15" customHeight="1">
      <c r="A1" s="114"/>
      <c r="B1" s="204"/>
      <c r="C1" s="281" t="s">
        <v>60</v>
      </c>
      <c r="D1" s="281"/>
      <c r="E1" s="281"/>
      <c r="F1" s="281"/>
      <c r="G1" s="100" t="s">
        <v>60</v>
      </c>
      <c r="H1" s="100" t="s">
        <v>60</v>
      </c>
      <c r="I1" s="100" t="s">
        <v>60</v>
      </c>
      <c r="J1" s="281" t="s">
        <v>61</v>
      </c>
      <c r="K1" s="281"/>
      <c r="L1" s="100" t="s">
        <v>60</v>
      </c>
      <c r="M1" s="100" t="s">
        <v>62</v>
      </c>
      <c r="N1" s="281" t="s">
        <v>60</v>
      </c>
      <c r="O1" s="281"/>
      <c r="P1" s="100" t="s">
        <v>64</v>
      </c>
      <c r="Q1" s="100" t="s">
        <v>60</v>
      </c>
      <c r="R1" s="281" t="s">
        <v>63</v>
      </c>
      <c r="S1" s="281"/>
      <c r="T1" s="100" t="s">
        <v>60</v>
      </c>
      <c r="U1" s="100" t="s">
        <v>60</v>
      </c>
      <c r="V1" s="281" t="s">
        <v>60</v>
      </c>
      <c r="W1" s="281" t="s">
        <v>60</v>
      </c>
      <c r="X1" s="100" t="s">
        <v>65</v>
      </c>
      <c r="Y1" s="100" t="s">
        <v>60</v>
      </c>
      <c r="Z1" s="100" t="s">
        <v>60</v>
      </c>
      <c r="AA1" s="100" t="s">
        <v>60</v>
      </c>
      <c r="AB1" s="100" t="s">
        <v>60</v>
      </c>
      <c r="AC1" s="100" t="s">
        <v>60</v>
      </c>
      <c r="AD1" s="100" t="s">
        <v>60</v>
      </c>
      <c r="AE1" s="100" t="s">
        <v>66</v>
      </c>
      <c r="AF1" s="100" t="s">
        <v>60</v>
      </c>
      <c r="AG1" s="100" t="s">
        <v>60</v>
      </c>
      <c r="AH1" s="100" t="s">
        <v>68</v>
      </c>
      <c r="AI1" s="100" t="s">
        <v>60</v>
      </c>
      <c r="AJ1" s="281" t="s">
        <v>60</v>
      </c>
      <c r="AK1" s="281" t="s">
        <v>60</v>
      </c>
      <c r="AL1" s="100" t="s">
        <v>70</v>
      </c>
      <c r="AM1" s="100" t="s">
        <v>60</v>
      </c>
      <c r="AN1" s="100" t="s">
        <v>69</v>
      </c>
      <c r="AO1" s="281" t="s">
        <v>60</v>
      </c>
      <c r="AP1" s="281" t="s">
        <v>60</v>
      </c>
      <c r="AQ1" s="100" t="s">
        <v>60</v>
      </c>
      <c r="AR1" s="100" t="s">
        <v>60</v>
      </c>
      <c r="AS1" s="100" t="s">
        <v>60</v>
      </c>
      <c r="AT1" s="100" t="s">
        <v>60</v>
      </c>
      <c r="AU1" s="100" t="s">
        <v>69</v>
      </c>
      <c r="AV1" s="100" t="s">
        <v>60</v>
      </c>
      <c r="AW1" s="100" t="s">
        <v>69</v>
      </c>
      <c r="AX1" s="100" t="s">
        <v>60</v>
      </c>
      <c r="AY1" s="100" t="s">
        <v>60</v>
      </c>
      <c r="AZ1" s="100" t="s">
        <v>60</v>
      </c>
      <c r="BA1" s="100" t="s">
        <v>69</v>
      </c>
      <c r="BB1" s="100" t="s">
        <v>69</v>
      </c>
      <c r="BC1" s="100" t="s">
        <v>69</v>
      </c>
      <c r="BD1" s="100" t="s">
        <v>60</v>
      </c>
      <c r="BE1" s="100" t="s">
        <v>67</v>
      </c>
      <c r="BF1" s="100" t="s">
        <v>60</v>
      </c>
      <c r="BG1" s="100" t="s">
        <v>60</v>
      </c>
      <c r="BH1" s="100" t="s">
        <v>69</v>
      </c>
      <c r="BI1" s="100" t="s">
        <v>60</v>
      </c>
      <c r="BJ1" s="100" t="s">
        <v>60</v>
      </c>
      <c r="BL1" s="100"/>
      <c r="BM1" s="100"/>
      <c r="BN1" s="273" t="s">
        <v>529</v>
      </c>
      <c r="BO1" s="273" t="s">
        <v>530</v>
      </c>
      <c r="BP1" s="100"/>
    </row>
    <row r="2" spans="1:68" s="42" customFormat="1" ht="15" customHeight="1">
      <c r="A2" s="247" t="s">
        <v>317</v>
      </c>
      <c r="B2" s="204"/>
      <c r="C2" s="281" t="s">
        <v>255</v>
      </c>
      <c r="D2" s="281"/>
      <c r="E2" s="281"/>
      <c r="F2" s="281"/>
      <c r="G2" s="100" t="s">
        <v>73</v>
      </c>
      <c r="H2" s="100" t="s">
        <v>75</v>
      </c>
      <c r="I2" s="100" t="s">
        <v>77</v>
      </c>
      <c r="J2" s="281" t="s">
        <v>76</v>
      </c>
      <c r="K2" s="281"/>
      <c r="L2" s="100" t="s">
        <v>78</v>
      </c>
      <c r="M2" s="100" t="s">
        <v>76</v>
      </c>
      <c r="N2" s="281" t="s">
        <v>79</v>
      </c>
      <c r="O2" s="281" t="s">
        <v>79</v>
      </c>
      <c r="P2" s="100" t="s">
        <v>76</v>
      </c>
      <c r="Q2" s="100" t="s">
        <v>80</v>
      </c>
      <c r="R2" s="281" t="s">
        <v>76</v>
      </c>
      <c r="S2" s="281" t="s">
        <v>76</v>
      </c>
      <c r="T2" s="100" t="s">
        <v>81</v>
      </c>
      <c r="U2" s="100" t="s">
        <v>83</v>
      </c>
      <c r="V2" s="281" t="s">
        <v>82</v>
      </c>
      <c r="W2" s="281" t="s">
        <v>82</v>
      </c>
      <c r="X2" s="100" t="s">
        <v>88</v>
      </c>
      <c r="Y2" s="100" t="s">
        <v>86</v>
      </c>
      <c r="Z2" s="100" t="s">
        <v>85</v>
      </c>
      <c r="AA2" s="100" t="s">
        <v>84</v>
      </c>
      <c r="AB2" s="100" t="s">
        <v>87</v>
      </c>
      <c r="AC2" s="100" t="s">
        <v>89</v>
      </c>
      <c r="AD2" s="100" t="s">
        <v>90</v>
      </c>
      <c r="AE2" s="100" t="s">
        <v>91</v>
      </c>
      <c r="AF2" s="100" t="s">
        <v>94</v>
      </c>
      <c r="AG2" s="100" t="s">
        <v>93</v>
      </c>
      <c r="AH2" s="100" t="s">
        <v>76</v>
      </c>
      <c r="AI2" s="100" t="s">
        <v>95</v>
      </c>
      <c r="AJ2" s="281" t="s">
        <v>93</v>
      </c>
      <c r="AK2" s="281" t="s">
        <v>93</v>
      </c>
      <c r="AL2" s="100" t="s">
        <v>76</v>
      </c>
      <c r="AM2" s="100" t="s">
        <v>93</v>
      </c>
      <c r="AN2" s="100" t="s">
        <v>93</v>
      </c>
      <c r="AO2" s="281" t="s">
        <v>96</v>
      </c>
      <c r="AP2" s="281" t="s">
        <v>96</v>
      </c>
      <c r="AQ2" s="100" t="s">
        <v>99</v>
      </c>
      <c r="AR2" s="100" t="s">
        <v>97</v>
      </c>
      <c r="AS2" s="100" t="s">
        <v>98</v>
      </c>
      <c r="AT2" s="100" t="s">
        <v>101</v>
      </c>
      <c r="AU2" s="100" t="s">
        <v>100</v>
      </c>
      <c r="AV2" s="100" t="s">
        <v>104</v>
      </c>
      <c r="AW2" s="100" t="s">
        <v>102</v>
      </c>
      <c r="AX2" s="100" t="s">
        <v>103</v>
      </c>
      <c r="AY2" s="100" t="s">
        <v>105</v>
      </c>
      <c r="AZ2" s="100" t="s">
        <v>106</v>
      </c>
      <c r="BA2" s="100" t="s">
        <v>108</v>
      </c>
      <c r="BB2" s="100" t="s">
        <v>107</v>
      </c>
      <c r="BC2" s="100" t="s">
        <v>109</v>
      </c>
      <c r="BD2" s="100" t="s">
        <v>93</v>
      </c>
      <c r="BE2" s="100" t="s">
        <v>92</v>
      </c>
      <c r="BF2" s="100" t="s">
        <v>278</v>
      </c>
      <c r="BG2" s="100" t="s">
        <v>110</v>
      </c>
      <c r="BH2" s="100" t="s">
        <v>111</v>
      </c>
      <c r="BI2" s="100" t="s">
        <v>112</v>
      </c>
      <c r="BJ2" s="100" t="s">
        <v>113</v>
      </c>
      <c r="BL2" s="100" t="s">
        <v>525</v>
      </c>
      <c r="BM2" s="100"/>
      <c r="BN2" s="273" t="s">
        <v>531</v>
      </c>
      <c r="BO2" s="273" t="s">
        <v>531</v>
      </c>
      <c r="BP2" s="100"/>
    </row>
    <row r="3" spans="1:68" s="42" customFormat="1" ht="15" customHeight="1">
      <c r="A3" s="252"/>
      <c r="B3" s="204"/>
      <c r="C3" s="108" t="s">
        <v>254</v>
      </c>
      <c r="D3" s="108" t="s">
        <v>254</v>
      </c>
      <c r="E3" s="108" t="s">
        <v>254</v>
      </c>
      <c r="F3" s="108" t="s">
        <v>254</v>
      </c>
      <c r="G3" s="100" t="s">
        <v>120</v>
      </c>
      <c r="H3" s="107"/>
      <c r="I3" s="107"/>
      <c r="J3" s="281" t="s">
        <v>92</v>
      </c>
      <c r="K3" s="281"/>
      <c r="L3" s="100" t="s">
        <v>256</v>
      </c>
      <c r="M3" s="100" t="s">
        <v>119</v>
      </c>
      <c r="N3" s="281" t="s">
        <v>120</v>
      </c>
      <c r="O3" s="281" t="s">
        <v>120</v>
      </c>
      <c r="P3" s="100" t="s">
        <v>92</v>
      </c>
      <c r="Q3" s="107"/>
      <c r="R3" s="281" t="s">
        <v>92</v>
      </c>
      <c r="S3" s="281" t="s">
        <v>92</v>
      </c>
      <c r="T3" s="100" t="s">
        <v>118</v>
      </c>
      <c r="U3" s="100" t="s">
        <v>55</v>
      </c>
      <c r="V3" s="281" t="s">
        <v>121</v>
      </c>
      <c r="W3" s="281" t="s">
        <v>121</v>
      </c>
      <c r="X3" s="100" t="s">
        <v>257</v>
      </c>
      <c r="Y3" s="100" t="s">
        <v>123</v>
      </c>
      <c r="Z3" s="100" t="s">
        <v>122</v>
      </c>
      <c r="AA3" s="100" t="s">
        <v>55</v>
      </c>
      <c r="AB3" s="100" t="s">
        <v>258</v>
      </c>
      <c r="AC3" s="100" t="s">
        <v>126</v>
      </c>
      <c r="AD3" s="100" t="s">
        <v>256</v>
      </c>
      <c r="AE3" s="100" t="s">
        <v>127</v>
      </c>
      <c r="AF3" s="100" t="s">
        <v>129</v>
      </c>
      <c r="AG3" s="100" t="s">
        <v>128</v>
      </c>
      <c r="AH3" s="100" t="s">
        <v>92</v>
      </c>
      <c r="AI3" s="100"/>
      <c r="AJ3" s="281" t="s">
        <v>136</v>
      </c>
      <c r="AK3" s="281" t="s">
        <v>136</v>
      </c>
      <c r="AL3" s="100" t="s">
        <v>92</v>
      </c>
      <c r="AM3" s="100" t="s">
        <v>131</v>
      </c>
      <c r="AN3" s="100" t="s">
        <v>133</v>
      </c>
      <c r="AO3" s="281" t="s">
        <v>259</v>
      </c>
      <c r="AP3" s="281" t="s">
        <v>259</v>
      </c>
      <c r="AQ3" s="100"/>
      <c r="AR3" s="100" t="s">
        <v>134</v>
      </c>
      <c r="AS3" s="100" t="s">
        <v>135</v>
      </c>
      <c r="AT3" s="100" t="s">
        <v>250</v>
      </c>
      <c r="AU3" s="100" t="s">
        <v>137</v>
      </c>
      <c r="AV3" s="100" t="s">
        <v>134</v>
      </c>
      <c r="AW3" s="100" t="s">
        <v>138</v>
      </c>
      <c r="AX3" s="100" t="s">
        <v>139</v>
      </c>
      <c r="AY3" s="100" t="s">
        <v>141</v>
      </c>
      <c r="AZ3" s="100" t="s">
        <v>142</v>
      </c>
      <c r="BA3" s="100" t="s">
        <v>143</v>
      </c>
      <c r="BB3" s="100" t="s">
        <v>95</v>
      </c>
      <c r="BC3" s="100" t="s">
        <v>144</v>
      </c>
      <c r="BD3" s="100" t="s">
        <v>145</v>
      </c>
      <c r="BE3" s="100" t="s">
        <v>146</v>
      </c>
      <c r="BF3" s="100" t="s">
        <v>277</v>
      </c>
      <c r="BG3" s="100" t="s">
        <v>147</v>
      </c>
      <c r="BH3" s="100" t="s">
        <v>148</v>
      </c>
      <c r="BI3" s="100" t="s">
        <v>149</v>
      </c>
      <c r="BJ3" s="100" t="s">
        <v>150</v>
      </c>
      <c r="BL3" s="100"/>
      <c r="BM3" s="100"/>
      <c r="BN3" s="273" t="s">
        <v>532</v>
      </c>
      <c r="BO3" s="273" t="s">
        <v>532</v>
      </c>
      <c r="BP3" s="100"/>
    </row>
    <row r="4" spans="1:68" s="105" customFormat="1" ht="15" customHeight="1">
      <c r="A4" s="265"/>
      <c r="B4" s="204"/>
      <c r="C4" s="284" t="s">
        <v>233</v>
      </c>
      <c r="D4" s="284"/>
      <c r="E4" s="284"/>
      <c r="F4" s="284"/>
      <c r="G4" s="104" t="s">
        <v>151</v>
      </c>
      <c r="H4" s="104" t="s">
        <v>156</v>
      </c>
      <c r="I4" s="104" t="s">
        <v>157</v>
      </c>
      <c r="J4" s="284" t="s">
        <v>160</v>
      </c>
      <c r="K4" s="284"/>
      <c r="L4" s="104" t="s">
        <v>161</v>
      </c>
      <c r="M4" s="104" t="s">
        <v>162</v>
      </c>
      <c r="N4" s="284" t="s">
        <v>163</v>
      </c>
      <c r="O4" s="284"/>
      <c r="P4" s="104" t="s">
        <v>164</v>
      </c>
      <c r="Q4" s="104" t="s">
        <v>165</v>
      </c>
      <c r="R4" s="281" t="s">
        <v>166</v>
      </c>
      <c r="S4" s="281" t="s">
        <v>166</v>
      </c>
      <c r="T4" s="104" t="s">
        <v>167</v>
      </c>
      <c r="U4" s="104" t="s">
        <v>168</v>
      </c>
      <c r="V4" s="281" t="s">
        <v>169</v>
      </c>
      <c r="W4" s="281" t="s">
        <v>169</v>
      </c>
      <c r="X4" s="104" t="s">
        <v>170</v>
      </c>
      <c r="Y4" s="104" t="s">
        <v>171</v>
      </c>
      <c r="Z4" s="104" t="s">
        <v>172</v>
      </c>
      <c r="AA4" s="104" t="s">
        <v>173</v>
      </c>
      <c r="AB4" s="104" t="s">
        <v>174</v>
      </c>
      <c r="AC4" s="104" t="s">
        <v>175</v>
      </c>
      <c r="AD4" s="104" t="s">
        <v>176</v>
      </c>
      <c r="AE4" s="104" t="s">
        <v>177</v>
      </c>
      <c r="AF4" s="104" t="s">
        <v>178</v>
      </c>
      <c r="AG4" s="104" t="s">
        <v>179</v>
      </c>
      <c r="AH4" s="104" t="s">
        <v>180</v>
      </c>
      <c r="AI4" s="104" t="s">
        <v>181</v>
      </c>
      <c r="AJ4" s="282" t="s">
        <v>182</v>
      </c>
      <c r="AK4" s="282" t="s">
        <v>183</v>
      </c>
      <c r="AL4" s="222" t="s">
        <v>183</v>
      </c>
      <c r="AM4" s="222" t="s">
        <v>184</v>
      </c>
      <c r="AN4" s="222" t="s">
        <v>185</v>
      </c>
      <c r="AO4" s="282" t="s">
        <v>186</v>
      </c>
      <c r="AP4" s="282" t="s">
        <v>187</v>
      </c>
      <c r="AQ4" s="222" t="s">
        <v>187</v>
      </c>
      <c r="AR4" s="104" t="s">
        <v>190</v>
      </c>
      <c r="AS4" s="104" t="s">
        <v>191</v>
      </c>
      <c r="AT4" s="104" t="s">
        <v>192</v>
      </c>
      <c r="AU4" s="104" t="s">
        <v>193</v>
      </c>
      <c r="AV4" s="104" t="s">
        <v>194</v>
      </c>
      <c r="AW4" s="104" t="s">
        <v>196</v>
      </c>
      <c r="AX4" s="104" t="s">
        <v>197</v>
      </c>
      <c r="AY4" s="104" t="s">
        <v>198</v>
      </c>
      <c r="AZ4" s="104" t="s">
        <v>199</v>
      </c>
      <c r="BA4" s="104" t="s">
        <v>200</v>
      </c>
      <c r="BB4" s="104" t="s">
        <v>201</v>
      </c>
      <c r="BC4" s="104" t="s">
        <v>202</v>
      </c>
      <c r="BD4" s="104" t="s">
        <v>203</v>
      </c>
      <c r="BE4" s="104" t="s">
        <v>204</v>
      </c>
      <c r="BF4" s="104" t="s">
        <v>205</v>
      </c>
      <c r="BG4" s="104" t="s">
        <v>206</v>
      </c>
      <c r="BH4" s="104" t="s">
        <v>207</v>
      </c>
      <c r="BI4" s="104" t="s">
        <v>208</v>
      </c>
      <c r="BJ4" s="104" t="s">
        <v>209</v>
      </c>
      <c r="BL4" s="100"/>
      <c r="BM4" s="100"/>
      <c r="BN4" s="100"/>
      <c r="BO4" s="100"/>
      <c r="BP4" s="100"/>
    </row>
    <row r="5" spans="1:68" s="46" customFormat="1" ht="15" customHeight="1">
      <c r="A5" s="252"/>
      <c r="B5" s="204"/>
      <c r="C5" s="47" t="s">
        <v>153</v>
      </c>
      <c r="D5" s="47" t="s">
        <v>152</v>
      </c>
      <c r="E5" s="47" t="s">
        <v>116</v>
      </c>
      <c r="F5" s="47" t="s">
        <v>117</v>
      </c>
      <c r="G5" s="47"/>
      <c r="H5" s="47"/>
      <c r="I5" s="47"/>
      <c r="J5" s="47" t="s">
        <v>158</v>
      </c>
      <c r="K5" s="47" t="s">
        <v>159</v>
      </c>
      <c r="L5" s="47"/>
      <c r="M5" s="47"/>
      <c r="N5" s="47" t="s">
        <v>58</v>
      </c>
      <c r="O5" s="47" t="s">
        <v>158</v>
      </c>
      <c r="P5" s="47"/>
      <c r="Q5" s="47"/>
      <c r="R5" s="47" t="s">
        <v>158</v>
      </c>
      <c r="S5" s="47" t="s">
        <v>59</v>
      </c>
      <c r="T5" s="47"/>
      <c r="U5" s="47"/>
      <c r="V5" s="47" t="s">
        <v>264</v>
      </c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 t="s">
        <v>153</v>
      </c>
      <c r="AK5" s="47" t="s">
        <v>195</v>
      </c>
      <c r="AL5" s="47"/>
      <c r="AM5" s="47"/>
      <c r="AN5" s="47"/>
      <c r="AO5" s="47" t="s">
        <v>188</v>
      </c>
      <c r="AP5" s="47" t="s">
        <v>189</v>
      </c>
      <c r="AQ5" s="47"/>
      <c r="AR5" s="47"/>
      <c r="AS5" s="47"/>
      <c r="AT5" s="29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L5" s="47" t="s">
        <v>526</v>
      </c>
      <c r="BM5" s="47"/>
      <c r="BN5" s="47" t="s">
        <v>527</v>
      </c>
      <c r="BO5" s="47" t="s">
        <v>528</v>
      </c>
      <c r="BP5" s="47"/>
    </row>
    <row r="6" spans="2:68" s="46" customFormat="1" ht="15" customHeight="1">
      <c r="B6" s="227"/>
      <c r="C6" s="35"/>
      <c r="D6" s="35"/>
      <c r="E6" s="47" t="s">
        <v>154</v>
      </c>
      <c r="F6" s="47" t="s">
        <v>155</v>
      </c>
      <c r="G6" s="47"/>
      <c r="H6" s="47"/>
      <c r="I6" s="47"/>
      <c r="J6" s="47"/>
      <c r="K6" s="47" t="s">
        <v>155</v>
      </c>
      <c r="L6" s="47"/>
      <c r="M6" s="47"/>
      <c r="N6" s="47" t="s">
        <v>155</v>
      </c>
      <c r="O6" s="47"/>
      <c r="P6" s="47"/>
      <c r="Q6" s="47"/>
      <c r="R6" s="47"/>
      <c r="S6" s="47" t="s">
        <v>155</v>
      </c>
      <c r="T6" s="47"/>
      <c r="U6" s="47"/>
      <c r="V6" s="47" t="s">
        <v>272</v>
      </c>
      <c r="W6" s="47" t="s">
        <v>273</v>
      </c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L6" s="35"/>
      <c r="BM6" s="35"/>
      <c r="BN6" s="35"/>
      <c r="BO6" s="35"/>
      <c r="BP6" s="35"/>
    </row>
    <row r="7" spans="1:69" ht="12.75">
      <c r="A7" s="248" t="s">
        <v>450</v>
      </c>
      <c r="B7" s="204">
        <v>1</v>
      </c>
      <c r="C7" s="96">
        <f aca="true" t="shared" si="0" ref="C7:L7">+C64</f>
        <v>-0.03482144759307393</v>
      </c>
      <c r="D7" s="96">
        <f t="shared" si="0"/>
        <v>-0.007493119455681985</v>
      </c>
      <c r="E7" s="96">
        <f t="shared" si="0"/>
        <v>0.062020583291425346</v>
      </c>
      <c r="F7" s="96">
        <f t="shared" si="0"/>
        <v>0.06600809553390996</v>
      </c>
      <c r="G7" s="96">
        <f t="shared" si="0"/>
        <v>-0.02785806190305551</v>
      </c>
      <c r="H7" s="96">
        <v>-0.0119</v>
      </c>
      <c r="I7" s="96">
        <f>+I64</f>
        <v>0.004530299415635541</v>
      </c>
      <c r="J7" s="127">
        <f t="shared" si="0"/>
        <v>-0.10006645353201127</v>
      </c>
      <c r="K7" s="127">
        <f t="shared" si="0"/>
        <v>-0.09261440710144442</v>
      </c>
      <c r="L7" s="127">
        <f t="shared" si="0"/>
        <v>-0.021779666774552897</v>
      </c>
      <c r="M7" s="96">
        <f>+M64</f>
        <v>0.004657998332160629</v>
      </c>
      <c r="N7" s="96">
        <f>+N64</f>
        <v>-0.0072341602743092315</v>
      </c>
      <c r="O7" s="96">
        <f>+O64</f>
        <v>0.0038431280684367852</v>
      </c>
      <c r="P7" s="236">
        <v>-0.092</v>
      </c>
      <c r="Q7" s="96">
        <f aca="true" t="shared" si="1" ref="Q7:W7">+Q64</f>
        <v>-0.03960058402829714</v>
      </c>
      <c r="R7" s="127">
        <f t="shared" si="1"/>
        <v>0.01505177711331096</v>
      </c>
      <c r="S7" s="127">
        <f t="shared" si="1"/>
        <v>0.0033516622643119387</v>
      </c>
      <c r="T7" s="96">
        <f t="shared" si="1"/>
        <v>-0.11188095097639694</v>
      </c>
      <c r="U7" s="96">
        <f t="shared" si="1"/>
        <v>-0.040320356084174724</v>
      </c>
      <c r="V7" s="96">
        <f t="shared" si="1"/>
        <v>-0.06237226005553309</v>
      </c>
      <c r="W7" s="127">
        <f t="shared" si="1"/>
        <v>0.07879157625553646</v>
      </c>
      <c r="X7" s="236">
        <v>-0.069</v>
      </c>
      <c r="Y7" s="127">
        <f aca="true" t="shared" si="2" ref="Y7:AG7">+Y64</f>
        <v>-0.10576670524203802</v>
      </c>
      <c r="Z7" s="96">
        <f t="shared" si="2"/>
        <v>-0.0442440956632939</v>
      </c>
      <c r="AA7" s="96">
        <f t="shared" si="2"/>
        <v>-0.05118933222684097</v>
      </c>
      <c r="AB7" s="96">
        <f t="shared" si="2"/>
        <v>-0.00311752806885246</v>
      </c>
      <c r="AC7" s="96">
        <f t="shared" si="2"/>
        <v>-0.025060129592259783</v>
      </c>
      <c r="AD7" s="96">
        <f t="shared" si="2"/>
        <v>-0.0002040337150481797</v>
      </c>
      <c r="AE7" s="96">
        <f t="shared" si="2"/>
        <v>-0.03732248338099031</v>
      </c>
      <c r="AF7" s="238">
        <v>-0.069</v>
      </c>
      <c r="AG7" s="96">
        <f t="shared" si="2"/>
        <v>0.053449720389370015</v>
      </c>
      <c r="AH7" s="236">
        <v>-0.0233</v>
      </c>
      <c r="AI7" s="96">
        <f>+AI64</f>
        <v>-0.054446684875813944</v>
      </c>
      <c r="AJ7" s="96">
        <f>+AJ64</f>
        <v>-0.021519775323230128</v>
      </c>
      <c r="AK7" s="96">
        <f>+AK64</f>
        <v>-0.024369660340993193</v>
      </c>
      <c r="AL7" s="236">
        <v>-0.036</v>
      </c>
      <c r="AM7" s="96">
        <f aca="true" t="shared" si="3" ref="AM7:BJ7">+AM64</f>
        <v>0.032767924313931385</v>
      </c>
      <c r="AN7" s="96">
        <f t="shared" si="3"/>
        <v>-0.03146972431992323</v>
      </c>
      <c r="AO7" s="127">
        <f t="shared" si="3"/>
        <v>0.06828381906146119</v>
      </c>
      <c r="AP7" s="127">
        <f t="shared" si="3"/>
        <v>0.015696873638243458</v>
      </c>
      <c r="AQ7" s="96">
        <f t="shared" si="3"/>
        <v>0.03820930708305603</v>
      </c>
      <c r="AR7" s="96">
        <f t="shared" si="3"/>
        <v>0.026593207215716674</v>
      </c>
      <c r="AS7" s="96">
        <f t="shared" si="3"/>
        <v>-0.0752014206041638</v>
      </c>
      <c r="AT7" s="96">
        <f t="shared" si="3"/>
        <v>-0.0769476098202585</v>
      </c>
      <c r="AU7" s="96">
        <f t="shared" si="3"/>
        <v>-0.03481763083599054</v>
      </c>
      <c r="AV7" s="96">
        <f t="shared" si="3"/>
        <v>0.007263083709915463</v>
      </c>
      <c r="AW7" s="127">
        <f t="shared" si="3"/>
        <v>-0.02061389140236869</v>
      </c>
      <c r="AX7" s="127">
        <f t="shared" si="3"/>
        <v>0.027094926375057504</v>
      </c>
      <c r="AY7" s="96">
        <f t="shared" si="3"/>
        <v>-0.021064644756479067</v>
      </c>
      <c r="AZ7" s="96">
        <f t="shared" si="3"/>
        <v>-0.03902996607190501</v>
      </c>
      <c r="BA7" s="127">
        <f t="shared" si="3"/>
        <v>0.059638577599823384</v>
      </c>
      <c r="BB7" s="127">
        <f t="shared" si="3"/>
        <v>0.025146165310848234</v>
      </c>
      <c r="BC7" s="127">
        <f t="shared" si="3"/>
        <v>-0.038970134294535774</v>
      </c>
      <c r="BD7" s="127">
        <f t="shared" si="3"/>
        <v>0.06823276821842805</v>
      </c>
      <c r="BE7" s="127">
        <f t="shared" si="3"/>
        <v>0.06623151442015907</v>
      </c>
      <c r="BF7" s="96">
        <f t="shared" si="3"/>
        <v>0.04827495157698025</v>
      </c>
      <c r="BG7" s="96">
        <f t="shared" si="3"/>
        <v>0.04005237030407516</v>
      </c>
      <c r="BH7" s="127">
        <f t="shared" si="3"/>
        <v>0.01921194191798481</v>
      </c>
      <c r="BI7" s="127">
        <f t="shared" si="3"/>
        <v>0.01996656901457028</v>
      </c>
      <c r="BJ7" s="127">
        <f t="shared" si="3"/>
        <v>0.0801108559767203</v>
      </c>
      <c r="BL7" s="72">
        <f>+BL64</f>
        <v>-0.027282809450769552</v>
      </c>
      <c r="BM7" s="72"/>
      <c r="BN7" s="72">
        <f>+BN64</f>
        <v>-0.010085704637916026</v>
      </c>
      <c r="BO7" s="72">
        <f>+BO64</f>
        <v>-0.031043520111216583</v>
      </c>
      <c r="BP7" s="117"/>
      <c r="BQ7" s="117"/>
    </row>
    <row r="8" spans="1:69" ht="12.75">
      <c r="A8" s="248" t="s">
        <v>472</v>
      </c>
      <c r="B8" s="204">
        <v>2</v>
      </c>
      <c r="C8" s="128">
        <v>0.0248</v>
      </c>
      <c r="D8" s="99">
        <v>0.0305</v>
      </c>
      <c r="E8" s="99">
        <v>0.0566</v>
      </c>
      <c r="F8" s="99">
        <v>0.0404</v>
      </c>
      <c r="G8" s="52">
        <v>0.032</v>
      </c>
      <c r="H8" s="52">
        <v>0.0357</v>
      </c>
      <c r="I8" s="52">
        <v>0.0358</v>
      </c>
      <c r="J8" s="52">
        <v>0.019</v>
      </c>
      <c r="K8" s="52">
        <v>0.019</v>
      </c>
      <c r="L8" s="52">
        <v>0.0374</v>
      </c>
      <c r="M8" s="52">
        <v>0.032</v>
      </c>
      <c r="N8" s="50">
        <v>-0.0054</v>
      </c>
      <c r="O8" s="50">
        <v>0.0027</v>
      </c>
      <c r="P8" s="50"/>
      <c r="Q8" s="52">
        <v>0.022</v>
      </c>
      <c r="R8" s="50">
        <v>0.046</v>
      </c>
      <c r="S8" s="50">
        <v>0.046</v>
      </c>
      <c r="T8" s="52">
        <v>-0.0329</v>
      </c>
      <c r="U8" s="52">
        <v>0.024</v>
      </c>
      <c r="V8" s="52">
        <v>0.0098</v>
      </c>
      <c r="W8" s="52">
        <v>0.0809</v>
      </c>
      <c r="X8" s="52">
        <v>-0.006</v>
      </c>
      <c r="Y8" s="50">
        <v>0.0106</v>
      </c>
      <c r="Z8" s="52">
        <v>0.007</v>
      </c>
      <c r="AA8" s="52">
        <v>0.0152</v>
      </c>
      <c r="AB8" s="98">
        <v>3.47</v>
      </c>
      <c r="AC8" s="56">
        <v>0.025204469608384183</v>
      </c>
      <c r="AD8" s="50">
        <v>0.0344</v>
      </c>
      <c r="AE8" s="52">
        <v>0.0346</v>
      </c>
      <c r="AF8" s="52">
        <v>0.0145</v>
      </c>
      <c r="AG8" s="52">
        <v>0.0507</v>
      </c>
      <c r="AH8" s="50">
        <v>-0.0009</v>
      </c>
      <c r="AI8" s="52">
        <v>0.0128</v>
      </c>
      <c r="AJ8" s="52">
        <v>-0.0464</v>
      </c>
      <c r="AK8" s="52">
        <v>0.0054</v>
      </c>
      <c r="AL8" s="52">
        <v>-0.0429</v>
      </c>
      <c r="AM8" s="52">
        <v>0.0263</v>
      </c>
      <c r="AN8" s="52">
        <v>0.0184</v>
      </c>
      <c r="AO8" s="50">
        <v>0.0469</v>
      </c>
      <c r="AP8" s="50">
        <v>0.0256</v>
      </c>
      <c r="AQ8" s="52">
        <v>0.044</v>
      </c>
      <c r="AR8" s="52">
        <v>0.0463</v>
      </c>
      <c r="AS8" s="52">
        <v>-0.0047</v>
      </c>
      <c r="AT8" s="50">
        <v>0.02</v>
      </c>
      <c r="AU8" s="52">
        <v>0.0012</v>
      </c>
      <c r="AV8" s="52">
        <v>-0.0358</v>
      </c>
      <c r="AW8" s="52">
        <v>0.036</v>
      </c>
      <c r="AX8" s="52">
        <v>0.0451</v>
      </c>
      <c r="AY8" s="50">
        <v>0.034</v>
      </c>
      <c r="AZ8" s="52">
        <v>0.033</v>
      </c>
      <c r="BA8" s="52">
        <v>0.053</v>
      </c>
      <c r="BB8" s="52">
        <v>0.014</v>
      </c>
      <c r="BC8" s="52">
        <v>0.0149</v>
      </c>
      <c r="BD8" s="50">
        <v>0.044</v>
      </c>
      <c r="BE8" s="50">
        <v>0.0695</v>
      </c>
      <c r="BF8" s="52">
        <v>0.046</v>
      </c>
      <c r="BG8" s="52">
        <v>0.028</v>
      </c>
      <c r="BH8" s="52">
        <v>0.024</v>
      </c>
      <c r="BI8" s="50">
        <v>0.022</v>
      </c>
      <c r="BJ8" s="50"/>
      <c r="BL8" s="52"/>
      <c r="BM8" s="52"/>
      <c r="BN8" s="13"/>
      <c r="BO8" s="13"/>
      <c r="BP8" s="52"/>
      <c r="BQ8" s="51"/>
    </row>
    <row r="9" spans="1:77" ht="18" customHeight="1">
      <c r="A9" s="266" t="s">
        <v>451</v>
      </c>
      <c r="B9" s="228"/>
      <c r="C9" s="142">
        <v>29.5</v>
      </c>
      <c r="D9" s="142">
        <v>23.41</v>
      </c>
      <c r="E9" s="142">
        <v>0</v>
      </c>
      <c r="F9" s="142">
        <v>0</v>
      </c>
      <c r="G9" s="54">
        <v>29.3</v>
      </c>
      <c r="H9" s="54">
        <v>29.03</v>
      </c>
      <c r="I9" s="54">
        <v>25.8</v>
      </c>
      <c r="J9" s="54">
        <v>24.3</v>
      </c>
      <c r="K9" s="54">
        <v>24.3</v>
      </c>
      <c r="L9" s="54">
        <v>23</v>
      </c>
      <c r="M9" s="54">
        <v>17.43</v>
      </c>
      <c r="N9" s="55">
        <v>58.78</v>
      </c>
      <c r="O9" s="55">
        <v>52.5</v>
      </c>
      <c r="P9" s="55">
        <v>77.5</v>
      </c>
      <c r="Q9" s="54">
        <v>21</v>
      </c>
      <c r="R9" s="55">
        <v>23.4</v>
      </c>
      <c r="S9" s="55">
        <v>23.4</v>
      </c>
      <c r="T9" s="54">
        <v>46.7</v>
      </c>
      <c r="U9" s="54">
        <v>64.8</v>
      </c>
      <c r="V9" s="54">
        <v>32.4</v>
      </c>
      <c r="W9" s="54">
        <v>30.6</v>
      </c>
      <c r="X9" s="54">
        <v>87.9</v>
      </c>
      <c r="Y9" s="55">
        <v>24.14</v>
      </c>
      <c r="Z9" s="54">
        <v>59.26</v>
      </c>
      <c r="AA9" s="54">
        <v>53.98</v>
      </c>
      <c r="AB9" s="54">
        <v>32.63</v>
      </c>
      <c r="AC9" s="54">
        <v>29.61</v>
      </c>
      <c r="AD9" s="54">
        <v>21.8</v>
      </c>
      <c r="AE9" s="95">
        <v>55.95</v>
      </c>
      <c r="AF9" s="95">
        <v>77.36</v>
      </c>
      <c r="AG9" s="54">
        <v>15.14</v>
      </c>
      <c r="AH9" s="54">
        <v>100</v>
      </c>
      <c r="AI9" s="54">
        <v>54.36</v>
      </c>
      <c r="AJ9" s="54">
        <v>46.86</v>
      </c>
      <c r="AK9" s="54">
        <v>46.86</v>
      </c>
      <c r="AL9" s="54">
        <v>33.46</v>
      </c>
      <c r="AM9" s="54">
        <v>8.4</v>
      </c>
      <c r="AN9" s="54">
        <v>93.9</v>
      </c>
      <c r="AO9" s="54">
        <v>19.9</v>
      </c>
      <c r="AP9" s="54">
        <v>4.3</v>
      </c>
      <c r="AQ9" s="54">
        <v>15.3</v>
      </c>
      <c r="AR9" s="95">
        <v>62.79</v>
      </c>
      <c r="AS9" s="54">
        <v>42.39</v>
      </c>
      <c r="AT9" s="55">
        <v>48.6</v>
      </c>
      <c r="AU9" s="54">
        <v>1.68</v>
      </c>
      <c r="AV9" s="223">
        <v>96.6</v>
      </c>
      <c r="AW9" s="54">
        <v>14.3</v>
      </c>
      <c r="AX9" s="54">
        <v>77.09</v>
      </c>
      <c r="AY9" s="55">
        <v>17</v>
      </c>
      <c r="AZ9" s="54">
        <v>58</v>
      </c>
      <c r="BA9" s="54">
        <v>57</v>
      </c>
      <c r="BB9" s="54">
        <v>1.4</v>
      </c>
      <c r="BC9" s="54">
        <v>29.15</v>
      </c>
      <c r="BD9" s="95">
        <v>83.32</v>
      </c>
      <c r="BE9" s="54">
        <v>0.3</v>
      </c>
      <c r="BF9" s="54">
        <v>18.2</v>
      </c>
      <c r="BG9" s="54">
        <v>27.4</v>
      </c>
      <c r="BH9" s="54">
        <v>0</v>
      </c>
      <c r="BI9" s="55">
        <v>0</v>
      </c>
      <c r="BJ9" s="55">
        <v>0</v>
      </c>
      <c r="BL9" s="72">
        <f aca="true" t="shared" si="4" ref="BL9:BL14">+BL80/$BL$86</f>
        <v>0.3080619576202299</v>
      </c>
      <c r="BM9" s="68"/>
      <c r="BN9" s="72">
        <f aca="true" t="shared" si="5" ref="BN9:BN14">+BN80/$BN$86</f>
        <v>0.2630696428081936</v>
      </c>
      <c r="BO9" s="72">
        <f aca="true" t="shared" si="6" ref="BO9:BO14">+BO80/$BO$86</f>
        <v>0.3184408360245443</v>
      </c>
      <c r="BP9" s="54"/>
      <c r="BQ9" s="54"/>
      <c r="BR9" s="54"/>
      <c r="BS9" s="54"/>
      <c r="BT9" s="54"/>
      <c r="BU9" s="54"/>
      <c r="BV9" s="54"/>
      <c r="BW9" s="54"/>
      <c r="BX9" s="54"/>
      <c r="BY9" s="54"/>
    </row>
    <row r="10" spans="1:77" ht="12.75">
      <c r="A10" s="248" t="s">
        <v>452</v>
      </c>
      <c r="B10" s="204"/>
      <c r="C10" s="142">
        <v>35.1</v>
      </c>
      <c r="D10" s="142">
        <v>53.5</v>
      </c>
      <c r="E10" s="142">
        <v>0</v>
      </c>
      <c r="F10" s="142">
        <v>0</v>
      </c>
      <c r="G10" s="54">
        <v>35.5</v>
      </c>
      <c r="H10" s="54">
        <v>45.01</v>
      </c>
      <c r="I10" s="54">
        <v>58.9</v>
      </c>
      <c r="J10" s="54">
        <v>43.6</v>
      </c>
      <c r="K10" s="54">
        <v>43.6</v>
      </c>
      <c r="L10" s="54">
        <v>52</v>
      </c>
      <c r="M10" s="54">
        <v>75.11</v>
      </c>
      <c r="N10" s="55">
        <v>19.84</v>
      </c>
      <c r="O10" s="55">
        <v>19.13</v>
      </c>
      <c r="P10" s="55">
        <v>15.8</v>
      </c>
      <c r="Q10" s="54">
        <v>41.1</v>
      </c>
      <c r="R10" s="55">
        <v>42.5</v>
      </c>
      <c r="S10" s="55">
        <v>42.5</v>
      </c>
      <c r="T10" s="54">
        <v>24.93</v>
      </c>
      <c r="U10" s="54">
        <v>11.3</v>
      </c>
      <c r="V10" s="54">
        <v>51.1</v>
      </c>
      <c r="W10" s="54">
        <v>49.5</v>
      </c>
      <c r="X10" s="54">
        <v>5.8</v>
      </c>
      <c r="Y10" s="55">
        <v>39.22</v>
      </c>
      <c r="Z10" s="54">
        <v>15.29</v>
      </c>
      <c r="AA10" s="54">
        <v>30.06</v>
      </c>
      <c r="AB10" s="54">
        <v>50.07</v>
      </c>
      <c r="AC10" s="54">
        <v>48.991</v>
      </c>
      <c r="AD10" s="54">
        <v>63.76</v>
      </c>
      <c r="AE10" s="95">
        <v>16.61</v>
      </c>
      <c r="AF10" s="95">
        <v>5</v>
      </c>
      <c r="AG10" s="54">
        <v>47.31</v>
      </c>
      <c r="AH10" s="54">
        <v>0</v>
      </c>
      <c r="AI10" s="54">
        <v>25.57</v>
      </c>
      <c r="AJ10" s="54">
        <v>23.31</v>
      </c>
      <c r="AK10" s="54">
        <v>23.31</v>
      </c>
      <c r="AL10" s="54">
        <v>0</v>
      </c>
      <c r="AM10" s="54">
        <v>19.1</v>
      </c>
      <c r="AN10" s="54">
        <v>1.5</v>
      </c>
      <c r="AO10" s="54">
        <v>59</v>
      </c>
      <c r="AP10" s="54">
        <v>56.5</v>
      </c>
      <c r="AQ10" s="54">
        <v>70.8</v>
      </c>
      <c r="AR10" s="95">
        <v>28.01</v>
      </c>
      <c r="AS10" s="54">
        <v>15.93</v>
      </c>
      <c r="AT10" s="55">
        <v>3.4</v>
      </c>
      <c r="AU10" s="54">
        <v>46.51</v>
      </c>
      <c r="AV10" s="223">
        <v>0</v>
      </c>
      <c r="AW10" s="54">
        <v>47.4</v>
      </c>
      <c r="AX10" s="54">
        <v>16.78</v>
      </c>
      <c r="AY10" s="55">
        <v>58</v>
      </c>
      <c r="AZ10" s="54">
        <v>19.4</v>
      </c>
      <c r="BA10" s="54">
        <v>27.6</v>
      </c>
      <c r="BB10" s="54">
        <v>34.6</v>
      </c>
      <c r="BC10" s="54">
        <v>27.12</v>
      </c>
      <c r="BD10" s="95">
        <v>12.67</v>
      </c>
      <c r="BE10" s="54">
        <v>91.6</v>
      </c>
      <c r="BF10" s="54">
        <v>35.6</v>
      </c>
      <c r="BG10" s="54">
        <v>44</v>
      </c>
      <c r="BH10" s="54">
        <v>0</v>
      </c>
      <c r="BI10" s="55">
        <v>0</v>
      </c>
      <c r="BJ10" s="55">
        <v>100</v>
      </c>
      <c r="BL10" s="72">
        <f t="shared" si="4"/>
        <v>0.42760631751738554</v>
      </c>
      <c r="BM10" s="68"/>
      <c r="BN10" s="72">
        <f t="shared" si="5"/>
        <v>0.4887626553612252</v>
      </c>
      <c r="BO10" s="72">
        <f t="shared" si="6"/>
        <v>0.4134987038774543</v>
      </c>
      <c r="BP10" s="54"/>
      <c r="BQ10" s="54"/>
      <c r="BR10" s="54"/>
      <c r="BS10" s="54"/>
      <c r="BT10" s="54"/>
      <c r="BU10" s="54"/>
      <c r="BV10" s="54"/>
      <c r="BW10" s="54"/>
      <c r="BX10" s="54"/>
      <c r="BY10" s="54"/>
    </row>
    <row r="11" spans="1:77" ht="12.75">
      <c r="A11" s="248" t="s">
        <v>453</v>
      </c>
      <c r="B11" s="204"/>
      <c r="C11" s="142">
        <v>0.5</v>
      </c>
      <c r="D11" s="142">
        <v>0.39</v>
      </c>
      <c r="E11" s="142">
        <v>0</v>
      </c>
      <c r="F11" s="142">
        <v>0</v>
      </c>
      <c r="G11" s="54">
        <v>0.1</v>
      </c>
      <c r="H11" s="54">
        <v>0.47</v>
      </c>
      <c r="I11" s="54">
        <v>0.3</v>
      </c>
      <c r="J11" s="54">
        <v>0.5</v>
      </c>
      <c r="K11" s="54">
        <v>0.5</v>
      </c>
      <c r="L11" s="54">
        <v>2</v>
      </c>
      <c r="M11" s="54">
        <v>0.18</v>
      </c>
      <c r="N11" s="55">
        <v>0</v>
      </c>
      <c r="O11" s="55">
        <v>0</v>
      </c>
      <c r="P11" s="55">
        <v>0.4</v>
      </c>
      <c r="Q11" s="54">
        <v>0.9</v>
      </c>
      <c r="R11" s="55">
        <v>4.5</v>
      </c>
      <c r="S11" s="55">
        <v>4.5</v>
      </c>
      <c r="T11" s="54">
        <v>2.03</v>
      </c>
      <c r="U11" s="54">
        <v>0.8</v>
      </c>
      <c r="V11" s="54">
        <v>2.6</v>
      </c>
      <c r="W11" s="54">
        <v>0</v>
      </c>
      <c r="X11" s="54">
        <v>0.1</v>
      </c>
      <c r="Y11" s="55">
        <v>0.21</v>
      </c>
      <c r="Z11" s="54">
        <v>2.95</v>
      </c>
      <c r="AA11" s="54">
        <v>2.43</v>
      </c>
      <c r="AB11" s="54">
        <v>0.97</v>
      </c>
      <c r="AC11" s="54">
        <v>0.499</v>
      </c>
      <c r="AD11" s="54">
        <v>0.96</v>
      </c>
      <c r="AE11" s="95">
        <v>6.62</v>
      </c>
      <c r="AF11" s="95">
        <v>0.11</v>
      </c>
      <c r="AG11" s="54">
        <v>0.17</v>
      </c>
      <c r="AH11" s="54">
        <v>0</v>
      </c>
      <c r="AI11" s="54">
        <v>2.07</v>
      </c>
      <c r="AJ11" s="54">
        <v>2.33</v>
      </c>
      <c r="AK11" s="54">
        <v>2.33</v>
      </c>
      <c r="AL11" s="55">
        <v>66.54</v>
      </c>
      <c r="AM11" s="54">
        <v>0.8</v>
      </c>
      <c r="AN11" s="54">
        <v>0</v>
      </c>
      <c r="AO11" s="54">
        <v>0</v>
      </c>
      <c r="AP11" s="54">
        <v>0</v>
      </c>
      <c r="AQ11" s="54">
        <v>0.6</v>
      </c>
      <c r="AR11" s="95">
        <v>1.72</v>
      </c>
      <c r="AS11" s="54">
        <v>1.06</v>
      </c>
      <c r="AT11" s="55">
        <v>8.5</v>
      </c>
      <c r="AU11" s="54">
        <v>2.74</v>
      </c>
      <c r="AV11" s="223">
        <v>3.4</v>
      </c>
      <c r="AW11" s="54">
        <v>0.4</v>
      </c>
      <c r="AX11" s="54">
        <v>0</v>
      </c>
      <c r="AY11" s="55">
        <v>12</v>
      </c>
      <c r="AZ11" s="54">
        <v>0</v>
      </c>
      <c r="BA11" s="54">
        <v>0</v>
      </c>
      <c r="BB11" s="54">
        <v>2.9</v>
      </c>
      <c r="BC11" s="54">
        <v>1.58</v>
      </c>
      <c r="BD11" s="95">
        <v>0</v>
      </c>
      <c r="BE11" s="54">
        <v>0</v>
      </c>
      <c r="BF11" s="54">
        <v>0</v>
      </c>
      <c r="BG11" s="54">
        <v>0.8</v>
      </c>
      <c r="BH11" s="54">
        <v>0</v>
      </c>
      <c r="BI11" s="55">
        <v>43.76</v>
      </c>
      <c r="BJ11" s="55">
        <v>0</v>
      </c>
      <c r="BL11" s="72">
        <f t="shared" si="4"/>
        <v>0.009037390619956577</v>
      </c>
      <c r="BM11" s="68"/>
      <c r="BN11" s="72">
        <f t="shared" si="5"/>
        <v>0.006863039914739133</v>
      </c>
      <c r="BO11" s="72">
        <f t="shared" si="6"/>
        <v>0.009538972316121047</v>
      </c>
      <c r="BP11" s="54"/>
      <c r="BQ11" s="54"/>
      <c r="BR11" s="54"/>
      <c r="BS11" s="54"/>
      <c r="BT11" s="54"/>
      <c r="BU11" s="54"/>
      <c r="BV11" s="54"/>
      <c r="BW11" s="54"/>
      <c r="BX11" s="54"/>
      <c r="BY11" s="54"/>
    </row>
    <row r="12" spans="1:77" ht="12.75">
      <c r="A12" s="248" t="s">
        <v>454</v>
      </c>
      <c r="B12" s="204"/>
      <c r="C12" s="142">
        <v>6.2</v>
      </c>
      <c r="D12" s="142">
        <v>3.2</v>
      </c>
      <c r="E12" s="142">
        <v>0</v>
      </c>
      <c r="F12" s="142">
        <v>0</v>
      </c>
      <c r="G12" s="54">
        <v>14.6</v>
      </c>
      <c r="H12" s="54">
        <v>7.8</v>
      </c>
      <c r="I12" s="54">
        <v>6.4</v>
      </c>
      <c r="J12" s="54">
        <v>9.4</v>
      </c>
      <c r="K12" s="54">
        <v>9.4</v>
      </c>
      <c r="L12" s="54">
        <v>7</v>
      </c>
      <c r="M12" s="54">
        <v>2.69</v>
      </c>
      <c r="N12" s="55">
        <v>12.24</v>
      </c>
      <c r="O12" s="55">
        <v>8.64</v>
      </c>
      <c r="P12" s="55">
        <v>6.3</v>
      </c>
      <c r="Q12" s="54">
        <v>4.8</v>
      </c>
      <c r="R12" s="55">
        <v>3.9</v>
      </c>
      <c r="S12" s="55">
        <v>3.9</v>
      </c>
      <c r="T12" s="54">
        <v>8.61</v>
      </c>
      <c r="U12" s="54">
        <v>4.9</v>
      </c>
      <c r="V12" s="54">
        <v>9.1</v>
      </c>
      <c r="W12" s="54">
        <v>16.5</v>
      </c>
      <c r="X12" s="54">
        <v>2.2</v>
      </c>
      <c r="Y12" s="55">
        <v>3.37</v>
      </c>
      <c r="Z12" s="54">
        <v>6.99</v>
      </c>
      <c r="AA12" s="54">
        <v>0</v>
      </c>
      <c r="AB12" s="54">
        <v>5.13</v>
      </c>
      <c r="AC12" s="54">
        <v>6</v>
      </c>
      <c r="AD12" s="54">
        <v>12.8</v>
      </c>
      <c r="AE12" s="95">
        <v>3.89</v>
      </c>
      <c r="AF12" s="95">
        <v>4.63</v>
      </c>
      <c r="AG12" s="54">
        <v>30.05</v>
      </c>
      <c r="AH12" s="54">
        <v>0</v>
      </c>
      <c r="AI12" s="54">
        <v>7.73</v>
      </c>
      <c r="AJ12" s="54">
        <v>2.5</v>
      </c>
      <c r="AK12" s="54">
        <v>2.5</v>
      </c>
      <c r="AL12" s="54">
        <v>0</v>
      </c>
      <c r="AM12" s="54">
        <v>0</v>
      </c>
      <c r="AN12" s="54">
        <v>4.6</v>
      </c>
      <c r="AO12" s="54">
        <v>16.9</v>
      </c>
      <c r="AP12" s="54">
        <v>34.6</v>
      </c>
      <c r="AQ12" s="54">
        <v>13.1</v>
      </c>
      <c r="AR12" s="95">
        <v>3.67</v>
      </c>
      <c r="AS12" s="54">
        <v>14.84</v>
      </c>
      <c r="AT12" s="55">
        <v>7.3</v>
      </c>
      <c r="AU12" s="54">
        <v>11.46</v>
      </c>
      <c r="AV12" s="223">
        <v>0</v>
      </c>
      <c r="AW12" s="54">
        <v>7</v>
      </c>
      <c r="AX12" s="54">
        <v>2.56</v>
      </c>
      <c r="AY12" s="55">
        <v>13</v>
      </c>
      <c r="AZ12" s="54">
        <v>10.3</v>
      </c>
      <c r="BA12" s="54">
        <v>15.4</v>
      </c>
      <c r="BB12" s="54">
        <v>46.6</v>
      </c>
      <c r="BC12" s="54">
        <v>18.67</v>
      </c>
      <c r="BD12" s="95">
        <v>4.01</v>
      </c>
      <c r="BE12" s="54">
        <v>0</v>
      </c>
      <c r="BF12" s="54">
        <v>29.4</v>
      </c>
      <c r="BG12" s="54">
        <v>7.9</v>
      </c>
      <c r="BH12" s="54">
        <v>28.1</v>
      </c>
      <c r="BI12" s="55">
        <v>24.77</v>
      </c>
      <c r="BJ12" s="55">
        <v>0</v>
      </c>
      <c r="BL12" s="72">
        <f t="shared" si="4"/>
        <v>0.07790038412479107</v>
      </c>
      <c r="BM12" s="68"/>
      <c r="BN12" s="72">
        <f t="shared" si="5"/>
        <v>0.03823728324951096</v>
      </c>
      <c r="BO12" s="72">
        <f t="shared" si="6"/>
        <v>0.08704991339089714</v>
      </c>
      <c r="BP12" s="54"/>
      <c r="BQ12" s="54"/>
      <c r="BR12" s="54"/>
      <c r="BS12" s="54"/>
      <c r="BT12" s="54"/>
      <c r="BU12" s="54"/>
      <c r="BV12" s="54"/>
      <c r="BW12" s="54"/>
      <c r="BX12" s="54"/>
      <c r="BY12" s="54"/>
    </row>
    <row r="13" spans="1:77" ht="12.75">
      <c r="A13" s="248" t="s">
        <v>455</v>
      </c>
      <c r="B13" s="204"/>
      <c r="C13" s="142">
        <v>28.7</v>
      </c>
      <c r="D13" s="142">
        <v>19.5</v>
      </c>
      <c r="E13" s="142">
        <v>100</v>
      </c>
      <c r="F13" s="142">
        <v>0</v>
      </c>
      <c r="G13" s="54">
        <v>20.5</v>
      </c>
      <c r="H13" s="54">
        <v>17.11</v>
      </c>
      <c r="I13" s="54">
        <v>8.6</v>
      </c>
      <c r="J13" s="54">
        <v>22.2</v>
      </c>
      <c r="K13" s="54">
        <v>22.2</v>
      </c>
      <c r="L13" s="54">
        <v>5</v>
      </c>
      <c r="M13" s="54">
        <v>4.59</v>
      </c>
      <c r="N13" s="55">
        <v>9.14</v>
      </c>
      <c r="O13" s="55">
        <v>19.73</v>
      </c>
      <c r="P13" s="55">
        <v>0</v>
      </c>
      <c r="Q13" s="54">
        <v>31.5</v>
      </c>
      <c r="R13" s="55">
        <v>24.2</v>
      </c>
      <c r="S13" s="55">
        <v>24.2</v>
      </c>
      <c r="T13" s="54">
        <v>10.68</v>
      </c>
      <c r="U13" s="54">
        <v>18.2</v>
      </c>
      <c r="V13" s="54">
        <v>4.8</v>
      </c>
      <c r="W13" s="54">
        <v>3.4</v>
      </c>
      <c r="X13" s="54">
        <v>3.9</v>
      </c>
      <c r="Y13" s="55">
        <v>30.87</v>
      </c>
      <c r="Z13" s="54">
        <v>10.16</v>
      </c>
      <c r="AA13" s="54">
        <v>6.2</v>
      </c>
      <c r="AB13" s="54">
        <v>0.01</v>
      </c>
      <c r="AC13" s="54">
        <v>14.9</v>
      </c>
      <c r="AD13" s="54">
        <v>0.24</v>
      </c>
      <c r="AE13" s="95">
        <v>16.93</v>
      </c>
      <c r="AF13" s="95">
        <v>12.9</v>
      </c>
      <c r="AG13" s="54">
        <v>7.33</v>
      </c>
      <c r="AH13" s="54">
        <v>0</v>
      </c>
      <c r="AI13" s="54">
        <v>5.9</v>
      </c>
      <c r="AJ13" s="54">
        <v>19.8</v>
      </c>
      <c r="AK13" s="54">
        <v>19.8</v>
      </c>
      <c r="AL13" s="54">
        <v>0</v>
      </c>
      <c r="AM13" s="54">
        <v>71.7</v>
      </c>
      <c r="AN13" s="54">
        <v>0</v>
      </c>
      <c r="AO13" s="54">
        <v>4.2</v>
      </c>
      <c r="AP13" s="54">
        <v>4.6</v>
      </c>
      <c r="AQ13" s="54">
        <v>0.2</v>
      </c>
      <c r="AR13" s="95">
        <v>2.91</v>
      </c>
      <c r="AS13" s="54">
        <v>3.07</v>
      </c>
      <c r="AT13" s="55">
        <v>32.2</v>
      </c>
      <c r="AU13" s="54">
        <v>7.65</v>
      </c>
      <c r="AV13" s="223">
        <v>0</v>
      </c>
      <c r="AW13" s="54">
        <v>29.3</v>
      </c>
      <c r="AX13" s="54">
        <v>3.57</v>
      </c>
      <c r="AY13" s="55">
        <v>0</v>
      </c>
      <c r="AZ13" s="54">
        <v>12.3</v>
      </c>
      <c r="BA13" s="54">
        <v>0</v>
      </c>
      <c r="BB13" s="54">
        <v>14.5</v>
      </c>
      <c r="BC13" s="54">
        <v>23.48</v>
      </c>
      <c r="BD13" s="95">
        <v>0</v>
      </c>
      <c r="BE13" s="54">
        <v>8.1</v>
      </c>
      <c r="BF13" s="54">
        <v>3.2</v>
      </c>
      <c r="BG13" s="54">
        <v>4</v>
      </c>
      <c r="BH13" s="54">
        <v>71.9</v>
      </c>
      <c r="BI13" s="55">
        <v>31.47</v>
      </c>
      <c r="BJ13" s="55">
        <v>0</v>
      </c>
      <c r="BL13" s="72">
        <f t="shared" si="4"/>
        <v>0.16294690565891645</v>
      </c>
      <c r="BM13" s="68"/>
      <c r="BN13" s="72">
        <f t="shared" si="5"/>
        <v>0.20037941014179042</v>
      </c>
      <c r="BO13" s="72">
        <f t="shared" si="6"/>
        <v>0.15431193290813097</v>
      </c>
      <c r="BP13" s="54"/>
      <c r="BQ13" s="54"/>
      <c r="BR13" s="54"/>
      <c r="BS13" s="54"/>
      <c r="BT13" s="54"/>
      <c r="BU13" s="54"/>
      <c r="BV13" s="54"/>
      <c r="BW13" s="54"/>
      <c r="BX13" s="54"/>
      <c r="BY13" s="54"/>
    </row>
    <row r="14" spans="1:77" ht="12.75">
      <c r="A14" s="248" t="s">
        <v>456</v>
      </c>
      <c r="B14" s="204"/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0.58</v>
      </c>
      <c r="I14" s="54">
        <v>0</v>
      </c>
      <c r="J14" s="54">
        <v>0</v>
      </c>
      <c r="K14" s="54">
        <v>0</v>
      </c>
      <c r="L14" s="54">
        <v>11</v>
      </c>
      <c r="M14" s="54">
        <v>0</v>
      </c>
      <c r="N14" s="55">
        <v>0</v>
      </c>
      <c r="O14" s="55">
        <v>0</v>
      </c>
      <c r="P14" s="55">
        <v>0</v>
      </c>
      <c r="Q14" s="54">
        <v>0.7</v>
      </c>
      <c r="R14" s="55">
        <v>1.5</v>
      </c>
      <c r="S14" s="55">
        <v>1.5</v>
      </c>
      <c r="T14" s="54">
        <v>7.05</v>
      </c>
      <c r="U14" s="54">
        <v>0</v>
      </c>
      <c r="V14" s="54">
        <v>0</v>
      </c>
      <c r="W14" s="54">
        <v>0</v>
      </c>
      <c r="X14" s="54">
        <v>0.1</v>
      </c>
      <c r="Y14" s="55">
        <v>2.19</v>
      </c>
      <c r="Z14" s="54">
        <v>5.35</v>
      </c>
      <c r="AA14" s="54">
        <v>7.33</v>
      </c>
      <c r="AB14" s="54">
        <v>11.19</v>
      </c>
      <c r="AC14" s="54">
        <v>0</v>
      </c>
      <c r="AD14" s="54">
        <v>0.44</v>
      </c>
      <c r="AE14" s="95">
        <v>0</v>
      </c>
      <c r="AF14" s="95">
        <v>0</v>
      </c>
      <c r="AG14" s="54">
        <v>0</v>
      </c>
      <c r="AH14" s="54">
        <v>0</v>
      </c>
      <c r="AI14" s="54">
        <v>4.37</v>
      </c>
      <c r="AJ14" s="54">
        <v>5.2</v>
      </c>
      <c r="AK14" s="54">
        <v>5.2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95">
        <v>0.9</v>
      </c>
      <c r="AS14" s="54">
        <v>22.71</v>
      </c>
      <c r="AT14" s="55">
        <v>0</v>
      </c>
      <c r="AU14" s="54">
        <v>29.96</v>
      </c>
      <c r="AV14" s="223">
        <v>0</v>
      </c>
      <c r="AW14" s="54">
        <v>1.6</v>
      </c>
      <c r="AX14" s="54">
        <v>0</v>
      </c>
      <c r="AY14" s="55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13.6</v>
      </c>
      <c r="BG14" s="54">
        <v>15.9</v>
      </c>
      <c r="BH14" s="54">
        <v>0</v>
      </c>
      <c r="BI14" s="55">
        <v>0</v>
      </c>
      <c r="BJ14" s="55">
        <v>0</v>
      </c>
      <c r="BL14" s="72">
        <f t="shared" si="4"/>
        <v>0.01444704445872019</v>
      </c>
      <c r="BM14" s="69"/>
      <c r="BN14" s="72">
        <f t="shared" si="5"/>
        <v>0.002687968524540946</v>
      </c>
      <c r="BO14" s="72">
        <f t="shared" si="6"/>
        <v>0.01715964148285231</v>
      </c>
      <c r="BP14" s="54"/>
      <c r="BQ14" s="54"/>
      <c r="BR14" s="54"/>
      <c r="BS14" s="54"/>
      <c r="BT14" s="54"/>
      <c r="BU14" s="54"/>
      <c r="BV14" s="54"/>
      <c r="BW14" s="54"/>
      <c r="BX14" s="54"/>
      <c r="BY14" s="54"/>
    </row>
    <row r="15" spans="1:69" s="144" customFormat="1" ht="12.75">
      <c r="A15" s="269" t="s">
        <v>457</v>
      </c>
      <c r="B15" s="204">
        <v>3</v>
      </c>
      <c r="C15" s="143">
        <f aca="true" t="shared" si="7" ref="C15:L15">SUM(C9:C14)</f>
        <v>100</v>
      </c>
      <c r="D15" s="143">
        <f t="shared" si="7"/>
        <v>100</v>
      </c>
      <c r="E15" s="143">
        <f t="shared" si="7"/>
        <v>100</v>
      </c>
      <c r="F15" s="143">
        <f t="shared" si="7"/>
        <v>0</v>
      </c>
      <c r="G15" s="126">
        <f t="shared" si="7"/>
        <v>99.99999999999999</v>
      </c>
      <c r="H15" s="126">
        <f t="shared" si="7"/>
        <v>99.99999999999999</v>
      </c>
      <c r="I15" s="126">
        <f>SUM(I9:I14)</f>
        <v>100</v>
      </c>
      <c r="J15" s="126">
        <f t="shared" si="7"/>
        <v>100.00000000000001</v>
      </c>
      <c r="K15" s="126">
        <f t="shared" si="7"/>
        <v>100.00000000000001</v>
      </c>
      <c r="L15" s="126">
        <f t="shared" si="7"/>
        <v>100</v>
      </c>
      <c r="M15" s="126">
        <f>SUM(M9:M14)</f>
        <v>100</v>
      </c>
      <c r="N15" s="36">
        <f>SUM(N9:N14)</f>
        <v>100</v>
      </c>
      <c r="O15" s="36">
        <f>SUM(O9:O14)</f>
        <v>100</v>
      </c>
      <c r="P15" s="126">
        <f>SUM(P9:P14)</f>
        <v>100</v>
      </c>
      <c r="Q15" s="126">
        <f aca="true" t="shared" si="8" ref="Q15:AF15">SUM(Q9:Q14)</f>
        <v>100</v>
      </c>
      <c r="R15" s="36">
        <f>SUM(R9:R14)</f>
        <v>100.00000000000001</v>
      </c>
      <c r="S15" s="36">
        <f>SUM(S9:S14)</f>
        <v>100.00000000000001</v>
      </c>
      <c r="T15" s="126">
        <f t="shared" si="8"/>
        <v>99.99999999999999</v>
      </c>
      <c r="U15" s="126">
        <f>SUM(U9:U14)</f>
        <v>100</v>
      </c>
      <c r="V15" s="126">
        <f t="shared" si="8"/>
        <v>99.99999999999999</v>
      </c>
      <c r="W15" s="126">
        <f t="shared" si="8"/>
        <v>100</v>
      </c>
      <c r="X15" s="126">
        <f>SUM(X9:X14)</f>
        <v>100</v>
      </c>
      <c r="Y15" s="36">
        <f t="shared" si="8"/>
        <v>100</v>
      </c>
      <c r="Z15" s="126">
        <f>SUM(Z9:Z14)</f>
        <v>99.99999999999999</v>
      </c>
      <c r="AA15" s="126">
        <f t="shared" si="8"/>
        <v>100</v>
      </c>
      <c r="AB15" s="126">
        <f t="shared" si="8"/>
        <v>100</v>
      </c>
      <c r="AC15" s="126">
        <f t="shared" si="8"/>
        <v>100</v>
      </c>
      <c r="AD15" s="126">
        <f t="shared" si="8"/>
        <v>99.99999999999999</v>
      </c>
      <c r="AE15" s="126">
        <f t="shared" si="8"/>
        <v>100</v>
      </c>
      <c r="AF15" s="126">
        <f t="shared" si="8"/>
        <v>100</v>
      </c>
      <c r="AG15" s="126">
        <f aca="true" t="shared" si="9" ref="AG15:AM15">SUM(AG9:AG14)</f>
        <v>100</v>
      </c>
      <c r="AH15" s="126">
        <f t="shared" si="9"/>
        <v>100</v>
      </c>
      <c r="AI15" s="126">
        <f t="shared" si="9"/>
        <v>100.00000000000001</v>
      </c>
      <c r="AJ15" s="126">
        <f t="shared" si="9"/>
        <v>100</v>
      </c>
      <c r="AK15" s="126">
        <f t="shared" si="9"/>
        <v>100</v>
      </c>
      <c r="AL15" s="126">
        <f t="shared" si="9"/>
        <v>100</v>
      </c>
      <c r="AM15" s="126">
        <f t="shared" si="9"/>
        <v>100</v>
      </c>
      <c r="AN15" s="126">
        <f aca="true" t="shared" si="10" ref="AN15:AS15">SUM(AN9:AN14)</f>
        <v>100</v>
      </c>
      <c r="AO15" s="126">
        <f t="shared" si="10"/>
        <v>100.00000000000001</v>
      </c>
      <c r="AP15" s="126">
        <f t="shared" si="10"/>
        <v>100</v>
      </c>
      <c r="AQ15" s="126">
        <f t="shared" si="10"/>
        <v>99.99999999999999</v>
      </c>
      <c r="AR15" s="126">
        <f t="shared" si="10"/>
        <v>100</v>
      </c>
      <c r="AS15" s="126">
        <f t="shared" si="10"/>
        <v>100</v>
      </c>
      <c r="AT15" s="36">
        <f>SUM(AT9:AT14)</f>
        <v>100</v>
      </c>
      <c r="AU15" s="126">
        <f>SUM(AU9:AU14)</f>
        <v>100</v>
      </c>
      <c r="AV15" s="126">
        <f>SUM(AV9:AV14)</f>
        <v>100</v>
      </c>
      <c r="AW15" s="126">
        <f>SUM(AW9:AW14)</f>
        <v>99.99999999999999</v>
      </c>
      <c r="AX15" s="126">
        <f aca="true" t="shared" si="11" ref="AX15:BH15">SUM(AX9:AX14)</f>
        <v>100</v>
      </c>
      <c r="AY15" s="36">
        <f t="shared" si="11"/>
        <v>100</v>
      </c>
      <c r="AZ15" s="126">
        <f t="shared" si="11"/>
        <v>100</v>
      </c>
      <c r="BA15" s="126">
        <f t="shared" si="11"/>
        <v>100</v>
      </c>
      <c r="BB15" s="126">
        <f t="shared" si="11"/>
        <v>100</v>
      </c>
      <c r="BC15" s="126">
        <f t="shared" si="11"/>
        <v>100</v>
      </c>
      <c r="BD15" s="126">
        <f t="shared" si="11"/>
        <v>100</v>
      </c>
      <c r="BE15" s="126">
        <f t="shared" si="11"/>
        <v>99.99999999999999</v>
      </c>
      <c r="BF15" s="126">
        <f t="shared" si="11"/>
        <v>99.99999999999999</v>
      </c>
      <c r="BG15" s="126">
        <f t="shared" si="11"/>
        <v>100.00000000000001</v>
      </c>
      <c r="BH15" s="126">
        <f t="shared" si="11"/>
        <v>100</v>
      </c>
      <c r="BI15" s="36">
        <f>SUM(BI9:BI14)</f>
        <v>100</v>
      </c>
      <c r="BJ15" s="126">
        <f>SUM(BJ9:BJ14)</f>
        <v>100</v>
      </c>
      <c r="BL15" s="149">
        <f>SUM(BL9:BL14)</f>
        <v>0.9999999999999997</v>
      </c>
      <c r="BM15" s="145"/>
      <c r="BN15" s="149">
        <f>SUM(BN9:BN14)</f>
        <v>1.0000000000000002</v>
      </c>
      <c r="BO15" s="149">
        <f>SUM(BO9:BO14)</f>
        <v>1</v>
      </c>
      <c r="BP15" s="143"/>
      <c r="BQ15" s="126"/>
    </row>
    <row r="16" spans="1:74" ht="15" customHeight="1">
      <c r="A16" s="266" t="s">
        <v>458</v>
      </c>
      <c r="B16" s="228"/>
      <c r="C16" s="142">
        <v>83</v>
      </c>
      <c r="D16" s="142">
        <v>87.6</v>
      </c>
      <c r="E16" s="142">
        <v>100</v>
      </c>
      <c r="F16" s="142">
        <v>100</v>
      </c>
      <c r="G16" s="54">
        <v>83.7</v>
      </c>
      <c r="H16" s="54">
        <v>87.35</v>
      </c>
      <c r="I16" s="54">
        <v>88</v>
      </c>
      <c r="J16" s="54">
        <v>78.7</v>
      </c>
      <c r="K16" s="54">
        <v>78.7</v>
      </c>
      <c r="L16" s="54">
        <v>85</v>
      </c>
      <c r="M16" s="54">
        <v>89.67</v>
      </c>
      <c r="N16" s="55">
        <v>77.17</v>
      </c>
      <c r="O16" s="55">
        <v>83.97</v>
      </c>
      <c r="P16" s="54">
        <v>67</v>
      </c>
      <c r="Q16" s="54">
        <v>85.5</v>
      </c>
      <c r="R16" s="55">
        <v>97.9</v>
      </c>
      <c r="S16" s="55">
        <v>97.9</v>
      </c>
      <c r="T16" s="54">
        <v>73.9</v>
      </c>
      <c r="U16" s="54">
        <v>81.6</v>
      </c>
      <c r="V16" s="54">
        <v>83.8</v>
      </c>
      <c r="W16" s="54">
        <v>92.7</v>
      </c>
      <c r="X16" s="54">
        <v>73.1</v>
      </c>
      <c r="Y16" s="55">
        <v>80.17</v>
      </c>
      <c r="Z16" s="54">
        <v>80.54</v>
      </c>
      <c r="AA16" s="54">
        <v>82.14</v>
      </c>
      <c r="AB16" s="54">
        <v>85.69</v>
      </c>
      <c r="AC16" s="54">
        <v>84.3</v>
      </c>
      <c r="AD16" s="54">
        <v>90.6</v>
      </c>
      <c r="AE16" s="54">
        <v>82.92</v>
      </c>
      <c r="AF16" s="54">
        <v>74.3</v>
      </c>
      <c r="AG16" s="54">
        <v>92.17</v>
      </c>
      <c r="AH16" s="54">
        <v>85.33</v>
      </c>
      <c r="AI16" s="54">
        <v>74.12</v>
      </c>
      <c r="AJ16" s="54">
        <v>88.1</v>
      </c>
      <c r="AK16" s="54">
        <v>88.1</v>
      </c>
      <c r="AL16" s="54">
        <v>74.47</v>
      </c>
      <c r="AM16" s="54">
        <v>98.4</v>
      </c>
      <c r="AN16" s="54">
        <v>100</v>
      </c>
      <c r="AO16" s="54">
        <v>94.7</v>
      </c>
      <c r="AP16" s="54">
        <v>95.7</v>
      </c>
      <c r="AQ16" s="54">
        <v>96.3</v>
      </c>
      <c r="AR16" s="54">
        <v>95.52</v>
      </c>
      <c r="AS16" s="54">
        <v>69.89</v>
      </c>
      <c r="AT16" s="55">
        <v>76.5</v>
      </c>
      <c r="AU16" s="54">
        <v>95.71</v>
      </c>
      <c r="AV16" s="54">
        <v>89.83</v>
      </c>
      <c r="AW16" s="54">
        <v>84.3</v>
      </c>
      <c r="AX16" s="54">
        <v>91.75</v>
      </c>
      <c r="AY16" s="55">
        <v>88</v>
      </c>
      <c r="AZ16" s="54">
        <v>75.7</v>
      </c>
      <c r="BA16" s="54">
        <v>96.6</v>
      </c>
      <c r="BB16" s="54">
        <v>95.7</v>
      </c>
      <c r="BC16" s="54">
        <v>79.18</v>
      </c>
      <c r="BD16" s="54">
        <v>95.29</v>
      </c>
      <c r="BE16" s="54">
        <v>100</v>
      </c>
      <c r="BF16" s="54">
        <v>98.8</v>
      </c>
      <c r="BG16" s="54">
        <v>95.4</v>
      </c>
      <c r="BH16" s="54">
        <v>100</v>
      </c>
      <c r="BI16" s="55">
        <v>94.32</v>
      </c>
      <c r="BJ16" s="54">
        <v>100</v>
      </c>
      <c r="BL16" s="72">
        <f>+BL91/BL93</f>
        <v>0.8497757877906735</v>
      </c>
      <c r="BM16" s="72"/>
      <c r="BN16" s="72">
        <f>+BN91/BN93</f>
        <v>0.8767554805278688</v>
      </c>
      <c r="BO16" s="72">
        <f>+BO91/BO93</f>
        <v>0.8435520815538436</v>
      </c>
      <c r="BP16" s="54"/>
      <c r="BQ16" s="54"/>
      <c r="BR16" s="54"/>
      <c r="BS16" s="54"/>
      <c r="BT16" s="54"/>
      <c r="BU16" s="54"/>
      <c r="BV16" s="54"/>
    </row>
    <row r="17" spans="1:74" ht="12.75">
      <c r="A17" s="248" t="s">
        <v>459</v>
      </c>
      <c r="B17" s="204"/>
      <c r="C17" s="142">
        <v>17</v>
      </c>
      <c r="D17" s="142">
        <v>12.4</v>
      </c>
      <c r="E17" s="142">
        <v>0</v>
      </c>
      <c r="F17" s="142">
        <v>0</v>
      </c>
      <c r="G17" s="54">
        <v>16.3</v>
      </c>
      <c r="H17" s="54">
        <v>12.65</v>
      </c>
      <c r="I17" s="54">
        <v>12</v>
      </c>
      <c r="J17" s="54">
        <v>21.3</v>
      </c>
      <c r="K17" s="54">
        <v>21.3</v>
      </c>
      <c r="L17" s="54">
        <v>15</v>
      </c>
      <c r="M17" s="54">
        <v>10.33</v>
      </c>
      <c r="N17" s="55">
        <v>22.83</v>
      </c>
      <c r="O17" s="55">
        <v>16.03</v>
      </c>
      <c r="P17" s="54">
        <v>33</v>
      </c>
      <c r="Q17" s="54">
        <v>14.5</v>
      </c>
      <c r="R17" s="55">
        <v>2.1</v>
      </c>
      <c r="S17" s="55">
        <v>2.1</v>
      </c>
      <c r="T17" s="54">
        <v>26.1</v>
      </c>
      <c r="U17" s="54">
        <v>18.4</v>
      </c>
      <c r="V17" s="54">
        <v>16.2</v>
      </c>
      <c r="W17" s="54">
        <v>7.3</v>
      </c>
      <c r="X17" s="54">
        <v>26.9</v>
      </c>
      <c r="Y17" s="55">
        <v>19.83</v>
      </c>
      <c r="Z17" s="54">
        <v>19.46</v>
      </c>
      <c r="AA17" s="54">
        <v>17.86</v>
      </c>
      <c r="AB17" s="54">
        <v>14.31</v>
      </c>
      <c r="AC17" s="54">
        <v>15.7</v>
      </c>
      <c r="AD17" s="54">
        <v>9.4</v>
      </c>
      <c r="AE17" s="54">
        <v>17.08</v>
      </c>
      <c r="AF17" s="54">
        <v>25.7</v>
      </c>
      <c r="AG17" s="54">
        <v>7.83</v>
      </c>
      <c r="AH17" s="54">
        <v>14.67</v>
      </c>
      <c r="AI17" s="54">
        <v>25.88</v>
      </c>
      <c r="AJ17" s="54">
        <v>11.9</v>
      </c>
      <c r="AK17" s="54">
        <v>11.9</v>
      </c>
      <c r="AL17" s="54">
        <v>25.53</v>
      </c>
      <c r="AM17" s="54">
        <v>1.6</v>
      </c>
      <c r="AN17" s="54">
        <v>0</v>
      </c>
      <c r="AO17" s="54">
        <v>5.3</v>
      </c>
      <c r="AP17" s="54">
        <v>4.3</v>
      </c>
      <c r="AQ17" s="54">
        <v>3.7</v>
      </c>
      <c r="AR17" s="54">
        <v>4.48</v>
      </c>
      <c r="AS17" s="54">
        <v>30.11</v>
      </c>
      <c r="AT17" s="55">
        <v>23.5</v>
      </c>
      <c r="AU17" s="54">
        <v>4.29</v>
      </c>
      <c r="AV17" s="54">
        <v>10.17</v>
      </c>
      <c r="AW17" s="54">
        <v>15.7</v>
      </c>
      <c r="AX17" s="54">
        <v>8.25</v>
      </c>
      <c r="AY17" s="55">
        <v>12</v>
      </c>
      <c r="AZ17" s="54">
        <v>24.3</v>
      </c>
      <c r="BA17" s="54">
        <v>3.4</v>
      </c>
      <c r="BB17" s="54">
        <v>4.3</v>
      </c>
      <c r="BC17" s="54">
        <v>20.82</v>
      </c>
      <c r="BD17" s="54">
        <v>4.71</v>
      </c>
      <c r="BE17" s="54">
        <v>0</v>
      </c>
      <c r="BF17" s="54">
        <v>1.2</v>
      </c>
      <c r="BG17" s="54">
        <v>4.6</v>
      </c>
      <c r="BH17" s="54">
        <v>0</v>
      </c>
      <c r="BI17" s="55">
        <v>5.68</v>
      </c>
      <c r="BJ17" s="54">
        <v>0</v>
      </c>
      <c r="BL17" s="72">
        <f>+BL92/BL93</f>
        <v>0.15022421220932605</v>
      </c>
      <c r="BM17" s="72"/>
      <c r="BN17" s="72">
        <f>+BN92/BN93</f>
        <v>0.12324451947213137</v>
      </c>
      <c r="BO17" s="72">
        <f>+BO92/BO93</f>
        <v>0.15644791844615646</v>
      </c>
      <c r="BP17" s="54"/>
      <c r="BQ17" s="54"/>
      <c r="BR17" s="54"/>
      <c r="BS17" s="54"/>
      <c r="BT17" s="54"/>
      <c r="BU17" s="54"/>
      <c r="BV17" s="54"/>
    </row>
    <row r="18" spans="1:69" s="144" customFormat="1" ht="12.75">
      <c r="A18" s="269" t="s">
        <v>457</v>
      </c>
      <c r="B18" s="204">
        <v>4</v>
      </c>
      <c r="C18" s="146">
        <f aca="true" t="shared" si="12" ref="C18:L18">SUM(C16:C17)</f>
        <v>100</v>
      </c>
      <c r="D18" s="146">
        <f t="shared" si="12"/>
        <v>100</v>
      </c>
      <c r="E18" s="146">
        <f t="shared" si="12"/>
        <v>100</v>
      </c>
      <c r="F18" s="146">
        <f t="shared" si="12"/>
        <v>100</v>
      </c>
      <c r="G18" s="126">
        <f t="shared" si="12"/>
        <v>100</v>
      </c>
      <c r="H18" s="126">
        <f t="shared" si="12"/>
        <v>100</v>
      </c>
      <c r="I18" s="126">
        <f>SUM(I16:I17)</f>
        <v>100</v>
      </c>
      <c r="J18" s="126">
        <f t="shared" si="12"/>
        <v>100</v>
      </c>
      <c r="K18" s="126">
        <f t="shared" si="12"/>
        <v>100</v>
      </c>
      <c r="L18" s="126">
        <f t="shared" si="12"/>
        <v>100</v>
      </c>
      <c r="M18" s="126">
        <f aca="true" t="shared" si="13" ref="M18:AF18">SUM(M16:M17)</f>
        <v>100</v>
      </c>
      <c r="N18" s="36">
        <f t="shared" si="13"/>
        <v>100</v>
      </c>
      <c r="O18" s="36">
        <f t="shared" si="13"/>
        <v>100</v>
      </c>
      <c r="P18" s="126">
        <f>SUM(P16:P17)</f>
        <v>100</v>
      </c>
      <c r="Q18" s="126">
        <f t="shared" si="13"/>
        <v>100</v>
      </c>
      <c r="R18" s="36">
        <f>SUM(R16:R17)</f>
        <v>100</v>
      </c>
      <c r="S18" s="36">
        <f>SUM(S16:S17)</f>
        <v>100</v>
      </c>
      <c r="T18" s="126">
        <f t="shared" si="13"/>
        <v>100</v>
      </c>
      <c r="U18" s="126">
        <f>SUM(U16:U17)</f>
        <v>100</v>
      </c>
      <c r="V18" s="126">
        <f t="shared" si="13"/>
        <v>100</v>
      </c>
      <c r="W18" s="126">
        <f t="shared" si="13"/>
        <v>100</v>
      </c>
      <c r="X18" s="126">
        <f>SUM(X16:X17)</f>
        <v>100</v>
      </c>
      <c r="Y18" s="36">
        <f t="shared" si="13"/>
        <v>100</v>
      </c>
      <c r="Z18" s="126">
        <f>SUM(Z16:Z17)</f>
        <v>100</v>
      </c>
      <c r="AA18" s="126">
        <f t="shared" si="13"/>
        <v>100</v>
      </c>
      <c r="AB18" s="126">
        <f t="shared" si="13"/>
        <v>100</v>
      </c>
      <c r="AC18" s="126">
        <f t="shared" si="13"/>
        <v>100</v>
      </c>
      <c r="AD18" s="126">
        <f t="shared" si="13"/>
        <v>100</v>
      </c>
      <c r="AE18" s="126">
        <f t="shared" si="13"/>
        <v>100</v>
      </c>
      <c r="AF18" s="126">
        <f t="shared" si="13"/>
        <v>100</v>
      </c>
      <c r="AG18" s="126">
        <f aca="true" t="shared" si="14" ref="AG18:AX18">SUM(AG16:AG17)</f>
        <v>100</v>
      </c>
      <c r="AH18" s="126">
        <f t="shared" si="14"/>
        <v>100</v>
      </c>
      <c r="AI18" s="126">
        <f t="shared" si="14"/>
        <v>100</v>
      </c>
      <c r="AJ18" s="126">
        <f t="shared" si="14"/>
        <v>100</v>
      </c>
      <c r="AK18" s="126">
        <f t="shared" si="14"/>
        <v>100</v>
      </c>
      <c r="AL18" s="126">
        <f t="shared" si="14"/>
        <v>100</v>
      </c>
      <c r="AM18" s="126">
        <f t="shared" si="14"/>
        <v>100</v>
      </c>
      <c r="AN18" s="126">
        <f t="shared" si="14"/>
        <v>100</v>
      </c>
      <c r="AO18" s="126">
        <f t="shared" si="14"/>
        <v>100</v>
      </c>
      <c r="AP18" s="126">
        <f t="shared" si="14"/>
        <v>100</v>
      </c>
      <c r="AQ18" s="126">
        <f t="shared" si="14"/>
        <v>100</v>
      </c>
      <c r="AR18" s="126">
        <f t="shared" si="14"/>
        <v>100</v>
      </c>
      <c r="AS18" s="126">
        <f t="shared" si="14"/>
        <v>100</v>
      </c>
      <c r="AT18" s="36">
        <f t="shared" si="14"/>
        <v>100</v>
      </c>
      <c r="AU18" s="126">
        <f t="shared" si="14"/>
        <v>100</v>
      </c>
      <c r="AV18" s="126">
        <f t="shared" si="14"/>
        <v>100</v>
      </c>
      <c r="AW18" s="126">
        <f t="shared" si="14"/>
        <v>100</v>
      </c>
      <c r="AX18" s="126">
        <f t="shared" si="14"/>
        <v>100</v>
      </c>
      <c r="AY18" s="36">
        <f aca="true" t="shared" si="15" ref="AY18:BD18">SUM(AY16:AY17)</f>
        <v>100</v>
      </c>
      <c r="AZ18" s="126">
        <f>SUM(AZ16:AZ17)</f>
        <v>100</v>
      </c>
      <c r="BA18" s="126">
        <f t="shared" si="15"/>
        <v>100</v>
      </c>
      <c r="BB18" s="126">
        <f t="shared" si="15"/>
        <v>100</v>
      </c>
      <c r="BC18" s="126">
        <f t="shared" si="15"/>
        <v>100</v>
      </c>
      <c r="BD18" s="126">
        <f t="shared" si="15"/>
        <v>100</v>
      </c>
      <c r="BE18" s="126">
        <f aca="true" t="shared" si="16" ref="BE18:BJ18">SUM(BE16:BE17)</f>
        <v>100</v>
      </c>
      <c r="BF18" s="126">
        <f t="shared" si="16"/>
        <v>100</v>
      </c>
      <c r="BG18" s="126">
        <f t="shared" si="16"/>
        <v>100</v>
      </c>
      <c r="BH18" s="126">
        <f t="shared" si="16"/>
        <v>100</v>
      </c>
      <c r="BI18" s="36">
        <f t="shared" si="16"/>
        <v>100</v>
      </c>
      <c r="BJ18" s="126">
        <f t="shared" si="16"/>
        <v>100</v>
      </c>
      <c r="BL18" s="149">
        <f>SUM(BL16:BL17)</f>
        <v>0.9999999999999996</v>
      </c>
      <c r="BM18" s="145"/>
      <c r="BN18" s="149">
        <f>SUM(BN16:BN17)</f>
        <v>1.0000000000000002</v>
      </c>
      <c r="BO18" s="149">
        <f>SUM(BO16:BO17)</f>
        <v>1</v>
      </c>
      <c r="BP18" s="143"/>
      <c r="BQ18" s="143"/>
    </row>
    <row r="19" spans="1:69" ht="18" customHeight="1">
      <c r="A19" s="248" t="s">
        <v>460</v>
      </c>
      <c r="B19" s="204">
        <v>5</v>
      </c>
      <c r="C19" s="53">
        <v>16196</v>
      </c>
      <c r="D19" s="53">
        <v>9225</v>
      </c>
      <c r="E19" s="53">
        <v>67</v>
      </c>
      <c r="F19" s="53">
        <v>13</v>
      </c>
      <c r="G19" s="53">
        <v>26794</v>
      </c>
      <c r="H19" s="53">
        <v>16716</v>
      </c>
      <c r="I19" s="53">
        <v>3856</v>
      </c>
      <c r="J19" s="53">
        <v>8891</v>
      </c>
      <c r="K19" s="53">
        <v>1965</v>
      </c>
      <c r="L19" s="53">
        <v>10706</v>
      </c>
      <c r="M19" s="53">
        <v>7917</v>
      </c>
      <c r="N19" s="30">
        <v>737</v>
      </c>
      <c r="O19" s="30">
        <v>1273</v>
      </c>
      <c r="P19" s="53">
        <v>7949</v>
      </c>
      <c r="Q19" s="30">
        <v>5346</v>
      </c>
      <c r="R19" s="30">
        <v>1265</v>
      </c>
      <c r="S19" s="30">
        <v>1701</v>
      </c>
      <c r="T19" s="53">
        <v>5358</v>
      </c>
      <c r="U19" s="53">
        <v>1217</v>
      </c>
      <c r="V19" s="53">
        <v>2375</v>
      </c>
      <c r="W19" s="53">
        <v>0</v>
      </c>
      <c r="X19" s="30">
        <v>2600</v>
      </c>
      <c r="Y19" s="30">
        <v>1962</v>
      </c>
      <c r="Z19" s="53">
        <v>3880</v>
      </c>
      <c r="AA19" s="53">
        <v>4283</v>
      </c>
      <c r="AB19" s="53">
        <v>1621</v>
      </c>
      <c r="AC19" s="53">
        <v>858</v>
      </c>
      <c r="AD19" s="53">
        <v>2780</v>
      </c>
      <c r="AE19" s="53">
        <v>362</v>
      </c>
      <c r="AF19" s="53">
        <v>957</v>
      </c>
      <c r="AG19" s="53">
        <v>256</v>
      </c>
      <c r="AH19" s="53">
        <v>1230</v>
      </c>
      <c r="AI19" s="30">
        <v>2075</v>
      </c>
      <c r="AJ19" s="30">
        <v>7143</v>
      </c>
      <c r="AK19" s="30">
        <v>1272</v>
      </c>
      <c r="AL19" s="53">
        <v>1091</v>
      </c>
      <c r="AM19" s="53">
        <v>1904</v>
      </c>
      <c r="AN19" s="53">
        <v>0</v>
      </c>
      <c r="AO19" s="53">
        <v>0</v>
      </c>
      <c r="AP19" s="53">
        <v>0</v>
      </c>
      <c r="AQ19" s="53">
        <v>669</v>
      </c>
      <c r="AR19" s="53">
        <v>0</v>
      </c>
      <c r="AS19" s="53">
        <v>591</v>
      </c>
      <c r="AT19" s="30">
        <v>262</v>
      </c>
      <c r="AU19" s="53">
        <v>0</v>
      </c>
      <c r="AV19" s="30">
        <v>208</v>
      </c>
      <c r="AW19" s="30">
        <v>301</v>
      </c>
      <c r="AX19" s="53">
        <v>0</v>
      </c>
      <c r="AY19" s="30">
        <v>283</v>
      </c>
      <c r="AZ19" s="53">
        <v>132</v>
      </c>
      <c r="BA19" s="53">
        <v>0</v>
      </c>
      <c r="BB19" s="53">
        <v>0</v>
      </c>
      <c r="BC19" s="53">
        <v>145</v>
      </c>
      <c r="BD19" s="53">
        <v>0</v>
      </c>
      <c r="BE19" s="53">
        <v>0</v>
      </c>
      <c r="BF19" s="53">
        <v>54</v>
      </c>
      <c r="BG19" s="53">
        <v>24</v>
      </c>
      <c r="BH19" s="53">
        <v>0</v>
      </c>
      <c r="BI19" s="30">
        <v>79</v>
      </c>
      <c r="BJ19" s="53">
        <v>0</v>
      </c>
      <c r="BL19" s="29">
        <f>SUM(C19:BJ19)</f>
        <v>166589</v>
      </c>
      <c r="BM19" s="29"/>
      <c r="BN19" s="29">
        <f>+D19+E19+F19+AC19+AJ19+AM19+AN19+AP19+AT19+AW19+AY19+AZ19+BC19+BF19+BG19+BH19+BI19</f>
        <v>20490</v>
      </c>
      <c r="BO19" s="29">
        <f>+C19+SUM(G19:AB19)+AD19+AE19+AF19+AG19+AH19+AI19+AK19+AL19+AO19+AQ19+AR19+AS19+AU19+AV19+AX19+BA19+BB19+BD19+BE19+BJ19</f>
        <v>146099</v>
      </c>
      <c r="BP19" s="53"/>
      <c r="BQ19" s="53"/>
    </row>
    <row r="20" spans="1:69" ht="12" customHeight="1">
      <c r="A20" s="248" t="s">
        <v>461</v>
      </c>
      <c r="B20" s="204">
        <v>6</v>
      </c>
      <c r="C20" s="53">
        <v>157</v>
      </c>
      <c r="D20" s="53">
        <v>8006</v>
      </c>
      <c r="E20" s="53">
        <v>178</v>
      </c>
      <c r="F20" s="53">
        <v>28</v>
      </c>
      <c r="G20" s="53">
        <v>5640</v>
      </c>
      <c r="H20" s="53">
        <v>8991</v>
      </c>
      <c r="I20" s="53">
        <v>3007</v>
      </c>
      <c r="J20" s="53">
        <v>3829</v>
      </c>
      <c r="K20" s="53">
        <v>3</v>
      </c>
      <c r="L20" s="53">
        <v>3387</v>
      </c>
      <c r="M20" s="53">
        <v>2294</v>
      </c>
      <c r="N20" s="30">
        <v>466</v>
      </c>
      <c r="O20" s="30">
        <v>13</v>
      </c>
      <c r="P20" s="53">
        <v>9</v>
      </c>
      <c r="Q20" s="30">
        <v>504</v>
      </c>
      <c r="R20" s="30">
        <v>2264</v>
      </c>
      <c r="S20" s="30">
        <v>22</v>
      </c>
      <c r="T20" s="53">
        <v>1356</v>
      </c>
      <c r="U20" s="53">
        <v>211</v>
      </c>
      <c r="V20" s="53">
        <v>969</v>
      </c>
      <c r="W20" s="53">
        <v>44</v>
      </c>
      <c r="X20" s="30">
        <v>19</v>
      </c>
      <c r="Y20" s="30">
        <v>132</v>
      </c>
      <c r="Z20" s="53">
        <v>1729</v>
      </c>
      <c r="AA20" s="53">
        <v>3641</v>
      </c>
      <c r="AB20" s="53">
        <v>686</v>
      </c>
      <c r="AC20" s="53">
        <v>451</v>
      </c>
      <c r="AD20" s="53">
        <v>1161</v>
      </c>
      <c r="AE20" s="53">
        <v>96</v>
      </c>
      <c r="AF20" s="53">
        <v>24</v>
      </c>
      <c r="AG20" s="53">
        <v>159</v>
      </c>
      <c r="AH20" s="30">
        <v>1</v>
      </c>
      <c r="AI20" s="53">
        <v>881</v>
      </c>
      <c r="AJ20" s="53">
        <v>79</v>
      </c>
      <c r="AK20" s="97">
        <v>6</v>
      </c>
      <c r="AL20" s="101">
        <v>0</v>
      </c>
      <c r="AM20" s="53">
        <v>2359</v>
      </c>
      <c r="AN20" s="53">
        <v>110</v>
      </c>
      <c r="AO20" s="30">
        <v>200</v>
      </c>
      <c r="AP20" s="30">
        <v>17</v>
      </c>
      <c r="AQ20" s="53">
        <v>270</v>
      </c>
      <c r="AR20" s="53">
        <v>113</v>
      </c>
      <c r="AS20" s="53">
        <v>160</v>
      </c>
      <c r="AT20" s="30">
        <v>152</v>
      </c>
      <c r="AU20" s="53">
        <v>28</v>
      </c>
      <c r="AV20" s="53">
        <v>0</v>
      </c>
      <c r="AW20" s="53">
        <v>185</v>
      </c>
      <c r="AX20" s="53">
        <v>234</v>
      </c>
      <c r="AY20" s="30">
        <v>254</v>
      </c>
      <c r="AZ20" s="53">
        <v>170</v>
      </c>
      <c r="BA20" s="53">
        <v>73</v>
      </c>
      <c r="BB20" s="53">
        <v>213</v>
      </c>
      <c r="BC20" s="53">
        <v>108</v>
      </c>
      <c r="BD20" s="53">
        <v>104</v>
      </c>
      <c r="BE20" s="53">
        <v>119</v>
      </c>
      <c r="BF20" s="53">
        <v>61</v>
      </c>
      <c r="BG20" s="53">
        <v>33</v>
      </c>
      <c r="BH20" s="53">
        <v>126</v>
      </c>
      <c r="BI20" s="30">
        <v>151</v>
      </c>
      <c r="BJ20" s="53">
        <v>3</v>
      </c>
      <c r="BL20" s="29">
        <f>SUM(C20:BJ20)</f>
        <v>55686</v>
      </c>
      <c r="BM20" s="29"/>
      <c r="BN20" s="29">
        <f>+D20+E20+F20+AC20+AJ20+AM20+AN20+AP20+AT20+AW20+AY20+AZ20+BC20+BF20+BG20+BH20+BI20</f>
        <v>12468</v>
      </c>
      <c r="BO20" s="29">
        <f>+C20+SUM(G20:AB20)+AD20+AE20+AF20+AG20+AH20+AI20+AK20+AL20+AO20+AQ20+AR20+AS20+AU20+AV20+AX20+BA20+BB20+BD20+BE20+BJ20</f>
        <v>43218</v>
      </c>
      <c r="BP20" s="53"/>
      <c r="BQ20" s="53"/>
    </row>
    <row r="21" spans="1:69" ht="16.5" customHeight="1">
      <c r="A21" s="248" t="s">
        <v>462</v>
      </c>
      <c r="B21" s="204"/>
      <c r="C21" s="140">
        <v>9.6</v>
      </c>
      <c r="D21" s="140">
        <v>72.9</v>
      </c>
      <c r="E21" s="140">
        <v>55.3</v>
      </c>
      <c r="F21" s="140">
        <v>64.4</v>
      </c>
      <c r="G21" s="54">
        <v>60.9</v>
      </c>
      <c r="H21" s="54">
        <v>62.3</v>
      </c>
      <c r="I21" s="54">
        <v>42</v>
      </c>
      <c r="J21" s="54">
        <v>63.85</v>
      </c>
      <c r="K21" s="54">
        <v>1.4</v>
      </c>
      <c r="L21" s="54">
        <v>55.2</v>
      </c>
      <c r="M21" s="54">
        <v>50</v>
      </c>
      <c r="N21" s="55">
        <v>81.2</v>
      </c>
      <c r="O21" s="55">
        <v>60.2</v>
      </c>
      <c r="P21" s="54">
        <v>19.07</v>
      </c>
      <c r="Q21" s="55">
        <v>51.5</v>
      </c>
      <c r="R21" s="55">
        <v>69.24</v>
      </c>
      <c r="S21" s="55">
        <v>0.8</v>
      </c>
      <c r="T21" s="54">
        <v>43.7</v>
      </c>
      <c r="U21" s="54">
        <v>79.4</v>
      </c>
      <c r="V21" s="54">
        <v>44.7</v>
      </c>
      <c r="W21" s="54">
        <v>72.4</v>
      </c>
      <c r="X21" s="55">
        <v>31</v>
      </c>
      <c r="Y21" s="55">
        <v>80</v>
      </c>
      <c r="Z21" s="54">
        <v>48.84</v>
      </c>
      <c r="AA21" s="54">
        <v>71.14</v>
      </c>
      <c r="AB21" s="54">
        <v>40.1</v>
      </c>
      <c r="AC21" s="54">
        <v>88.2</v>
      </c>
      <c r="AD21" s="54">
        <v>55.2</v>
      </c>
      <c r="AE21" s="54">
        <v>68.8</v>
      </c>
      <c r="AF21" s="54">
        <v>39.07</v>
      </c>
      <c r="AG21" s="54">
        <v>74.76</v>
      </c>
      <c r="AH21" s="55">
        <v>0</v>
      </c>
      <c r="AI21" s="54">
        <v>48.96</v>
      </c>
      <c r="AJ21" s="54">
        <v>15.8</v>
      </c>
      <c r="AK21" s="54">
        <v>51.6</v>
      </c>
      <c r="AL21" s="54">
        <v>0</v>
      </c>
      <c r="AM21" s="54">
        <v>67.6</v>
      </c>
      <c r="AN21" s="54">
        <v>79</v>
      </c>
      <c r="AO21" s="54">
        <v>71.1</v>
      </c>
      <c r="AP21" s="54">
        <v>72.8</v>
      </c>
      <c r="AQ21" s="54">
        <v>55.5</v>
      </c>
      <c r="AR21" s="54">
        <v>79.3</v>
      </c>
      <c r="AS21" s="54">
        <v>48.15</v>
      </c>
      <c r="AT21" s="55">
        <v>72.3</v>
      </c>
      <c r="AU21" s="54">
        <v>80.94</v>
      </c>
      <c r="AV21" s="54">
        <v>0</v>
      </c>
      <c r="AW21" s="54">
        <v>75.7</v>
      </c>
      <c r="AX21" s="54">
        <v>69</v>
      </c>
      <c r="AY21" s="55">
        <v>68.2</v>
      </c>
      <c r="AZ21" s="54">
        <v>70</v>
      </c>
      <c r="BA21" s="54">
        <v>75.6</v>
      </c>
      <c r="BB21" s="54">
        <v>83.5</v>
      </c>
      <c r="BC21" s="54">
        <v>71.7</v>
      </c>
      <c r="BD21" s="54">
        <v>80.77</v>
      </c>
      <c r="BE21" s="54">
        <v>74</v>
      </c>
      <c r="BF21" s="54">
        <v>72.3</v>
      </c>
      <c r="BG21" s="54">
        <v>55</v>
      </c>
      <c r="BH21" s="54">
        <v>69.1</v>
      </c>
      <c r="BI21" s="55">
        <v>51.4</v>
      </c>
      <c r="BJ21" s="54"/>
      <c r="BL21" s="72">
        <f>+BL69/$BL$74</f>
        <v>0.6571538803350715</v>
      </c>
      <c r="BM21" s="29"/>
      <c r="BN21" s="72">
        <f>+BN69/$BN$74</f>
        <v>0.7257993832499489</v>
      </c>
      <c r="BO21" s="72">
        <f>+BO69/$BO$74</f>
        <v>0.5992864434345533</v>
      </c>
      <c r="BP21" s="54"/>
      <c r="BQ21" s="54"/>
    </row>
    <row r="22" spans="1:69" ht="12.75">
      <c r="A22" s="248" t="s">
        <v>463</v>
      </c>
      <c r="B22" s="204"/>
      <c r="C22" s="140">
        <v>78.3</v>
      </c>
      <c r="D22" s="140">
        <v>4.1</v>
      </c>
      <c r="E22" s="140">
        <v>2.6</v>
      </c>
      <c r="F22" s="140">
        <v>0</v>
      </c>
      <c r="G22" s="54">
        <v>25.4</v>
      </c>
      <c r="H22" s="54">
        <v>29.3</v>
      </c>
      <c r="I22" s="54">
        <v>43</v>
      </c>
      <c r="J22" s="54">
        <v>17.55</v>
      </c>
      <c r="K22" s="54">
        <v>98.6</v>
      </c>
      <c r="L22" s="54">
        <v>32.4</v>
      </c>
      <c r="M22" s="54">
        <v>38.32</v>
      </c>
      <c r="N22" s="55">
        <v>6.7</v>
      </c>
      <c r="O22" s="55">
        <v>26.4</v>
      </c>
      <c r="P22" s="54">
        <v>80.93</v>
      </c>
      <c r="Q22" s="54">
        <v>30.3</v>
      </c>
      <c r="R22" s="55">
        <v>14.94</v>
      </c>
      <c r="S22" s="55">
        <v>69.3</v>
      </c>
      <c r="T22" s="54">
        <v>43.9</v>
      </c>
      <c r="U22" s="54">
        <v>7.3</v>
      </c>
      <c r="V22" s="54">
        <v>37</v>
      </c>
      <c r="W22" s="54">
        <v>7.8</v>
      </c>
      <c r="X22" s="54">
        <v>32.6</v>
      </c>
      <c r="Y22" s="55">
        <v>7</v>
      </c>
      <c r="Z22" s="54">
        <v>38.64</v>
      </c>
      <c r="AA22" s="54">
        <v>17.67</v>
      </c>
      <c r="AB22" s="54">
        <v>44.8</v>
      </c>
      <c r="AC22" s="54">
        <v>9.6</v>
      </c>
      <c r="AD22" s="54">
        <v>32.8</v>
      </c>
      <c r="AE22" s="54">
        <v>21.7</v>
      </c>
      <c r="AF22" s="54">
        <v>58.22</v>
      </c>
      <c r="AG22" s="54">
        <v>4.01</v>
      </c>
      <c r="AH22" s="55">
        <v>0</v>
      </c>
      <c r="AI22" s="54">
        <v>41.77</v>
      </c>
      <c r="AJ22" s="54">
        <v>56.6</v>
      </c>
      <c r="AK22" s="54">
        <v>26.6</v>
      </c>
      <c r="AL22" s="54">
        <v>0</v>
      </c>
      <c r="AM22" s="54">
        <v>6.4</v>
      </c>
      <c r="AN22" s="54">
        <v>0.4</v>
      </c>
      <c r="AO22" s="54">
        <v>8.7</v>
      </c>
      <c r="AP22" s="54">
        <v>27.2</v>
      </c>
      <c r="AQ22" s="54">
        <v>28.6</v>
      </c>
      <c r="AR22" s="54">
        <v>0.9</v>
      </c>
      <c r="AS22" s="54">
        <v>38.67</v>
      </c>
      <c r="AT22" s="55">
        <v>6.1</v>
      </c>
      <c r="AU22" s="54">
        <v>12.78</v>
      </c>
      <c r="AV22" s="54">
        <v>0</v>
      </c>
      <c r="AW22" s="54">
        <v>6.2</v>
      </c>
      <c r="AX22" s="54">
        <v>14</v>
      </c>
      <c r="AY22" s="55">
        <v>8.5</v>
      </c>
      <c r="AZ22" s="54">
        <v>11.9</v>
      </c>
      <c r="BA22" s="54">
        <v>0.2</v>
      </c>
      <c r="BB22" s="54">
        <v>10.5</v>
      </c>
      <c r="BC22" s="54">
        <v>5.7</v>
      </c>
      <c r="BD22" s="54">
        <v>1.54</v>
      </c>
      <c r="BE22" s="54">
        <v>3</v>
      </c>
      <c r="BF22" s="54">
        <v>8.4</v>
      </c>
      <c r="BG22" s="54">
        <v>5</v>
      </c>
      <c r="BH22" s="54">
        <v>3.3</v>
      </c>
      <c r="BI22" s="55">
        <v>7.2</v>
      </c>
      <c r="BJ22" s="54"/>
      <c r="BL22" s="72">
        <f>+BL70/$BL$74</f>
        <v>0.16590183642032735</v>
      </c>
      <c r="BM22" s="29"/>
      <c r="BN22" s="72">
        <f>+BN70/$BN$74</f>
        <v>0.04822815019441583</v>
      </c>
      <c r="BO22" s="72">
        <f>+BO70/$BO$74</f>
        <v>0.265099516142673</v>
      </c>
      <c r="BP22" s="54"/>
      <c r="BQ22" s="54"/>
    </row>
    <row r="23" spans="1:69" ht="12.75">
      <c r="A23" s="248" t="s">
        <v>464</v>
      </c>
      <c r="B23" s="204"/>
      <c r="C23" s="140">
        <v>7.1</v>
      </c>
      <c r="D23" s="140">
        <v>22.9</v>
      </c>
      <c r="E23" s="140">
        <v>41.9</v>
      </c>
      <c r="F23" s="140">
        <v>35.6</v>
      </c>
      <c r="G23" s="54">
        <v>11</v>
      </c>
      <c r="H23" s="54">
        <v>6.5</v>
      </c>
      <c r="I23" s="54">
        <v>11</v>
      </c>
      <c r="J23" s="54">
        <v>15.55</v>
      </c>
      <c r="K23" s="54">
        <v>0</v>
      </c>
      <c r="L23" s="54">
        <v>9.6</v>
      </c>
      <c r="M23" s="54">
        <v>8.73</v>
      </c>
      <c r="N23" s="55">
        <v>12</v>
      </c>
      <c r="O23" s="55">
        <v>11.6</v>
      </c>
      <c r="P23" s="54">
        <v>0</v>
      </c>
      <c r="Q23" s="54">
        <v>16</v>
      </c>
      <c r="R23" s="55">
        <v>15.12</v>
      </c>
      <c r="S23" s="55">
        <v>4.6</v>
      </c>
      <c r="T23" s="54">
        <v>9.7</v>
      </c>
      <c r="U23" s="54">
        <v>12.6</v>
      </c>
      <c r="V23" s="54">
        <v>14.4</v>
      </c>
      <c r="W23" s="54">
        <v>19.8</v>
      </c>
      <c r="X23" s="54">
        <v>22.1</v>
      </c>
      <c r="Y23" s="55">
        <v>12</v>
      </c>
      <c r="Z23" s="54">
        <v>9.42</v>
      </c>
      <c r="AA23" s="54">
        <v>9.07</v>
      </c>
      <c r="AB23" s="54">
        <v>12</v>
      </c>
      <c r="AC23" s="54">
        <v>2</v>
      </c>
      <c r="AD23" s="54">
        <v>9.4</v>
      </c>
      <c r="AE23" s="54">
        <v>8.1</v>
      </c>
      <c r="AF23" s="54">
        <v>1.41</v>
      </c>
      <c r="AG23" s="54">
        <v>20.95</v>
      </c>
      <c r="AH23" s="55">
        <v>100</v>
      </c>
      <c r="AI23" s="54">
        <v>6.31</v>
      </c>
      <c r="AJ23" s="54">
        <v>9.1</v>
      </c>
      <c r="AK23" s="54">
        <v>0</v>
      </c>
      <c r="AL23" s="54">
        <v>0</v>
      </c>
      <c r="AM23" s="54">
        <v>25.6</v>
      </c>
      <c r="AN23" s="54">
        <v>20.7</v>
      </c>
      <c r="AO23" s="54">
        <v>20</v>
      </c>
      <c r="AP23" s="54">
        <v>0</v>
      </c>
      <c r="AQ23" s="54">
        <v>12.8</v>
      </c>
      <c r="AR23" s="54">
        <v>19.8</v>
      </c>
      <c r="AS23" s="54">
        <v>9.03</v>
      </c>
      <c r="AT23" s="55">
        <v>21.6</v>
      </c>
      <c r="AU23" s="54">
        <v>6.02</v>
      </c>
      <c r="AV23" s="54">
        <v>0</v>
      </c>
      <c r="AW23" s="54">
        <v>17.4</v>
      </c>
      <c r="AX23" s="54">
        <v>17</v>
      </c>
      <c r="AY23" s="55">
        <v>22.5</v>
      </c>
      <c r="AZ23" s="54">
        <v>17.6</v>
      </c>
      <c r="BA23" s="54">
        <v>23.3</v>
      </c>
      <c r="BB23" s="54">
        <v>5.7</v>
      </c>
      <c r="BC23" s="54">
        <v>22.2</v>
      </c>
      <c r="BD23" s="54">
        <v>17.69</v>
      </c>
      <c r="BE23" s="54">
        <v>23</v>
      </c>
      <c r="BF23" s="54">
        <v>17.6</v>
      </c>
      <c r="BG23" s="54">
        <v>40</v>
      </c>
      <c r="BH23" s="54">
        <v>27.3</v>
      </c>
      <c r="BI23" s="55">
        <v>27.3</v>
      </c>
      <c r="BJ23" s="54"/>
      <c r="BL23" s="72">
        <f>+BL71/$BL$74</f>
        <v>0.16334841049424606</v>
      </c>
      <c r="BM23" s="29"/>
      <c r="BN23" s="72">
        <f>+BN71/$BN$74</f>
        <v>0.22409625943001188</v>
      </c>
      <c r="BO23" s="72">
        <f>+BO71/$BO$74</f>
        <v>0.11213861282560982</v>
      </c>
      <c r="BP23" s="54"/>
      <c r="BQ23" s="54"/>
    </row>
    <row r="24" spans="1:69" ht="12.75">
      <c r="A24" s="248" t="s">
        <v>465</v>
      </c>
      <c r="B24" s="204"/>
      <c r="C24" s="140">
        <v>5</v>
      </c>
      <c r="D24" s="140">
        <v>0.1</v>
      </c>
      <c r="E24" s="140">
        <v>0.2</v>
      </c>
      <c r="F24" s="140">
        <v>0</v>
      </c>
      <c r="G24" s="54">
        <v>2.7</v>
      </c>
      <c r="H24" s="54">
        <v>1.9</v>
      </c>
      <c r="I24" s="54">
        <v>4</v>
      </c>
      <c r="J24" s="54">
        <v>2</v>
      </c>
      <c r="K24" s="54">
        <v>0</v>
      </c>
      <c r="L24" s="54">
        <v>2.8</v>
      </c>
      <c r="M24" s="54">
        <v>2.95</v>
      </c>
      <c r="N24" s="55">
        <v>0.1</v>
      </c>
      <c r="O24" s="55">
        <v>1.8</v>
      </c>
      <c r="P24" s="54">
        <v>0</v>
      </c>
      <c r="Q24" s="54">
        <v>2.2</v>
      </c>
      <c r="R24" s="55">
        <v>0.7</v>
      </c>
      <c r="S24" s="55">
        <v>25</v>
      </c>
      <c r="T24" s="54">
        <v>2.7</v>
      </c>
      <c r="U24" s="54">
        <v>0.7</v>
      </c>
      <c r="V24" s="54">
        <v>3.9</v>
      </c>
      <c r="W24" s="54">
        <v>0</v>
      </c>
      <c r="X24" s="54">
        <v>14.3</v>
      </c>
      <c r="Y24" s="55">
        <v>1</v>
      </c>
      <c r="Z24" s="54">
        <v>3.1</v>
      </c>
      <c r="AA24" s="54">
        <v>2.12</v>
      </c>
      <c r="AB24" s="54">
        <v>3.1</v>
      </c>
      <c r="AC24" s="54">
        <v>0.2</v>
      </c>
      <c r="AD24" s="54">
        <v>2.6</v>
      </c>
      <c r="AE24" s="54">
        <v>1.4</v>
      </c>
      <c r="AF24" s="54">
        <v>1.3</v>
      </c>
      <c r="AG24" s="54">
        <v>0.29</v>
      </c>
      <c r="AH24" s="55">
        <v>0</v>
      </c>
      <c r="AI24" s="54">
        <v>2.96</v>
      </c>
      <c r="AJ24" s="54">
        <v>18.5</v>
      </c>
      <c r="AK24" s="54">
        <v>21.8</v>
      </c>
      <c r="AL24" s="54">
        <v>0</v>
      </c>
      <c r="AM24" s="54">
        <v>0.4</v>
      </c>
      <c r="AN24" s="54">
        <v>0</v>
      </c>
      <c r="AO24" s="54">
        <v>0.2</v>
      </c>
      <c r="AP24" s="54">
        <v>0</v>
      </c>
      <c r="AQ24" s="54">
        <v>3.1</v>
      </c>
      <c r="AR24" s="54">
        <v>0</v>
      </c>
      <c r="AS24" s="54">
        <v>1.33</v>
      </c>
      <c r="AT24" s="55">
        <v>0</v>
      </c>
      <c r="AU24" s="54">
        <v>0.25</v>
      </c>
      <c r="AV24" s="54">
        <v>0</v>
      </c>
      <c r="AW24" s="54">
        <v>0.7</v>
      </c>
      <c r="AX24" s="54">
        <v>0</v>
      </c>
      <c r="AY24" s="55">
        <v>0.8</v>
      </c>
      <c r="AZ24" s="54">
        <v>0.5</v>
      </c>
      <c r="BA24" s="54">
        <v>0.9</v>
      </c>
      <c r="BB24" s="54">
        <v>0.3</v>
      </c>
      <c r="BC24" s="54">
        <v>0.5</v>
      </c>
      <c r="BD24" s="54">
        <v>0</v>
      </c>
      <c r="BE24" s="54">
        <v>0</v>
      </c>
      <c r="BF24" s="54">
        <v>1.8</v>
      </c>
      <c r="BG24" s="54">
        <v>0</v>
      </c>
      <c r="BH24" s="54">
        <v>0.3</v>
      </c>
      <c r="BI24" s="55">
        <v>0.6</v>
      </c>
      <c r="BJ24" s="54"/>
      <c r="BL24" s="72">
        <f>+BL72/$BL$74</f>
        <v>0.012929343524359408</v>
      </c>
      <c r="BM24" s="29"/>
      <c r="BN24" s="72">
        <f>+BN72/$BN$74</f>
        <v>0.0018762071256233736</v>
      </c>
      <c r="BO24" s="72">
        <f>+BO72/$BO$74</f>
        <v>0.0222470212446294</v>
      </c>
      <c r="BP24" s="54"/>
      <c r="BQ24" s="54"/>
    </row>
    <row r="25" spans="1:69" ht="12.75">
      <c r="A25" s="248" t="s">
        <v>466</v>
      </c>
      <c r="B25" s="204">
        <v>7</v>
      </c>
      <c r="C25" s="141">
        <v>0</v>
      </c>
      <c r="D25" s="141">
        <v>0</v>
      </c>
      <c r="E25" s="141">
        <v>0</v>
      </c>
      <c r="F25" s="141">
        <v>0</v>
      </c>
      <c r="G25" s="54">
        <v>0</v>
      </c>
      <c r="H25" s="54">
        <v>0</v>
      </c>
      <c r="I25" s="54">
        <v>0</v>
      </c>
      <c r="J25" s="54">
        <v>1.05</v>
      </c>
      <c r="K25" s="54">
        <v>0</v>
      </c>
      <c r="L25" s="54">
        <v>0</v>
      </c>
      <c r="M25" s="54">
        <v>0</v>
      </c>
      <c r="N25" s="55">
        <v>0</v>
      </c>
      <c r="O25" s="55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5">
        <v>0</v>
      </c>
      <c r="Z25" s="55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5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2.82</v>
      </c>
      <c r="AT25" s="55">
        <v>0</v>
      </c>
      <c r="AU25" s="54">
        <v>0</v>
      </c>
      <c r="AV25" s="54">
        <v>0</v>
      </c>
      <c r="AW25" s="54">
        <v>0</v>
      </c>
      <c r="AX25" s="54">
        <v>0</v>
      </c>
      <c r="AY25" s="55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5">
        <v>0</v>
      </c>
      <c r="BJ25" s="54"/>
      <c r="BL25" s="72">
        <f>+BL73/$BL$74</f>
        <v>0.000666529225995329</v>
      </c>
      <c r="BM25" s="29"/>
      <c r="BN25" s="72">
        <f>+BN73/$BN$74</f>
        <v>0</v>
      </c>
      <c r="BO25" s="72">
        <f>+BO73/$BO$74</f>
        <v>0.0012284063525343334</v>
      </c>
      <c r="BP25" s="54"/>
      <c r="BQ25" s="54"/>
    </row>
    <row r="26" spans="1:69" s="144" customFormat="1" ht="12.75">
      <c r="A26" s="269" t="s">
        <v>467</v>
      </c>
      <c r="B26" s="204"/>
      <c r="C26" s="147">
        <f>SUM(C21:C25)</f>
        <v>99.99999999999999</v>
      </c>
      <c r="D26" s="147">
        <f>SUM(D21:D25)</f>
        <v>100</v>
      </c>
      <c r="E26" s="147">
        <f>SUM(E21:E25)</f>
        <v>100</v>
      </c>
      <c r="F26" s="147">
        <f>SUM(F21:F25)</f>
        <v>100</v>
      </c>
      <c r="G26" s="143">
        <f aca="true" t="shared" si="17" ref="G26:L26">+SUM(G21:G25)</f>
        <v>100</v>
      </c>
      <c r="H26" s="143">
        <f t="shared" si="17"/>
        <v>100</v>
      </c>
      <c r="I26" s="143">
        <f t="shared" si="17"/>
        <v>100</v>
      </c>
      <c r="J26" s="143">
        <f t="shared" si="17"/>
        <v>100</v>
      </c>
      <c r="K26" s="143">
        <f t="shared" si="17"/>
        <v>100</v>
      </c>
      <c r="L26" s="143">
        <f t="shared" si="17"/>
        <v>99.99999999999999</v>
      </c>
      <c r="M26" s="143">
        <f>SUM(M21:M25)</f>
        <v>100</v>
      </c>
      <c r="N26" s="148">
        <f aca="true" t="shared" si="18" ref="N26:X26">+SUM(N21:N25)</f>
        <v>100</v>
      </c>
      <c r="O26" s="148">
        <f t="shared" si="18"/>
        <v>99.99999999999999</v>
      </c>
      <c r="P26" s="143">
        <f>+SUM(P21:P25)</f>
        <v>100</v>
      </c>
      <c r="Q26" s="143">
        <f t="shared" si="18"/>
        <v>100</v>
      </c>
      <c r="R26" s="148">
        <f t="shared" si="18"/>
        <v>100</v>
      </c>
      <c r="S26" s="148">
        <f t="shared" si="18"/>
        <v>99.69999999999999</v>
      </c>
      <c r="T26" s="143">
        <f t="shared" si="18"/>
        <v>100</v>
      </c>
      <c r="U26" s="143">
        <f>SUM(U21:U25)</f>
        <v>100</v>
      </c>
      <c r="V26" s="143">
        <f t="shared" si="18"/>
        <v>100.00000000000001</v>
      </c>
      <c r="W26" s="143">
        <f t="shared" si="18"/>
        <v>100</v>
      </c>
      <c r="X26" s="143">
        <f t="shared" si="18"/>
        <v>100</v>
      </c>
      <c r="Y26" s="148">
        <f>SUM(Y21:Y25)</f>
        <v>100</v>
      </c>
      <c r="Z26" s="143">
        <f>+SUM(Z21:Z25)</f>
        <v>100</v>
      </c>
      <c r="AA26" s="143">
        <f>+SUM(AA21:AA25)</f>
        <v>100</v>
      </c>
      <c r="AB26" s="143">
        <f>+SUM(AB21:AB25)</f>
        <v>100</v>
      </c>
      <c r="AC26" s="143">
        <f>SUM(AC21:AC25)</f>
        <v>100</v>
      </c>
      <c r="AD26" s="143">
        <f>SUM(AD21:AD25)</f>
        <v>100</v>
      </c>
      <c r="AE26" s="143">
        <f>+SUM(AE21:AE25)</f>
        <v>100</v>
      </c>
      <c r="AF26" s="143">
        <f>SUM(AF21:AF25)</f>
        <v>99.99999999999999</v>
      </c>
      <c r="AG26" s="143">
        <f>SUM(AG21:AG25)</f>
        <v>100.01000000000002</v>
      </c>
      <c r="AH26" s="143">
        <f>+SUM(AH21:AH25)</f>
        <v>100</v>
      </c>
      <c r="AI26" s="143">
        <f>SUM(AI21:AI25)</f>
        <v>100</v>
      </c>
      <c r="AJ26" s="143">
        <f>+SUM(AJ21:AJ25)</f>
        <v>100</v>
      </c>
      <c r="AK26" s="143">
        <f>+SUM(AK21:AK25)</f>
        <v>100</v>
      </c>
      <c r="AL26" s="143">
        <v>0</v>
      </c>
      <c r="AM26" s="143">
        <f aca="true" t="shared" si="19" ref="AM26:AS26">+SUM(AM21:AM25)</f>
        <v>100</v>
      </c>
      <c r="AN26" s="143">
        <f t="shared" si="19"/>
        <v>100.10000000000001</v>
      </c>
      <c r="AO26" s="143">
        <f t="shared" si="19"/>
        <v>100</v>
      </c>
      <c r="AP26" s="143">
        <f t="shared" si="19"/>
        <v>100</v>
      </c>
      <c r="AQ26" s="143">
        <f t="shared" si="19"/>
        <v>99.99999999999999</v>
      </c>
      <c r="AR26" s="143">
        <f t="shared" si="19"/>
        <v>100</v>
      </c>
      <c r="AS26" s="143">
        <f t="shared" si="19"/>
        <v>99.99999999999999</v>
      </c>
      <c r="AT26" s="148">
        <f>SUM(AT21:AT25)</f>
        <v>100</v>
      </c>
      <c r="AU26" s="143">
        <f>+SUM(AU21:AU25)</f>
        <v>99.99</v>
      </c>
      <c r="AV26" s="143">
        <f>+SUM(AV21:AV25)</f>
        <v>0</v>
      </c>
      <c r="AW26" s="143">
        <f>SUM(AW21:AW25)</f>
        <v>100.00000000000001</v>
      </c>
      <c r="AX26" s="143">
        <f>SUM(AX21:AX25)</f>
        <v>100</v>
      </c>
      <c r="AY26" s="143">
        <f>SUM(AY21:AY25)</f>
        <v>100</v>
      </c>
      <c r="AZ26" s="143">
        <f aca="true" t="shared" si="20" ref="AZ26:BH26">+SUM(AZ21:AZ25)</f>
        <v>100</v>
      </c>
      <c r="BA26" s="143">
        <f t="shared" si="20"/>
        <v>100</v>
      </c>
      <c r="BB26" s="143">
        <f t="shared" si="20"/>
        <v>100</v>
      </c>
      <c r="BC26" s="143">
        <f t="shared" si="20"/>
        <v>100.10000000000001</v>
      </c>
      <c r="BD26" s="143">
        <f t="shared" si="20"/>
        <v>100</v>
      </c>
      <c r="BE26" s="143">
        <f t="shared" si="20"/>
        <v>100</v>
      </c>
      <c r="BF26" s="143">
        <f t="shared" si="20"/>
        <v>100.10000000000001</v>
      </c>
      <c r="BG26" s="143">
        <f t="shared" si="20"/>
        <v>100</v>
      </c>
      <c r="BH26" s="143">
        <f t="shared" si="20"/>
        <v>99.99999999999999</v>
      </c>
      <c r="BI26" s="148">
        <f>SUM(BI21:BI25)</f>
        <v>86.5</v>
      </c>
      <c r="BJ26" s="143">
        <f>SUM(BJ21:BJ25)</f>
        <v>0</v>
      </c>
      <c r="BL26" s="149">
        <f>SUM(BL21:BL25)</f>
        <v>0.9999999999999997</v>
      </c>
      <c r="BM26" s="149"/>
      <c r="BN26" s="149">
        <f>SUM(BN21:BN25)</f>
        <v>1</v>
      </c>
      <c r="BO26" s="149">
        <f>SUM(BO21:BO25)</f>
        <v>0.9999999999999998</v>
      </c>
      <c r="BP26" s="143"/>
      <c r="BQ26" s="143"/>
    </row>
    <row r="27" spans="1:69" ht="18" customHeight="1">
      <c r="A27" s="248" t="s">
        <v>468</v>
      </c>
      <c r="B27" s="204">
        <v>8</v>
      </c>
      <c r="C27" s="56">
        <f>+'4.1. Mutual Insurance Div.'!B24/'4.1. Mutual Insurance Div.'!B16</f>
        <v>0.012097764859045564</v>
      </c>
      <c r="D27" s="56">
        <f>+'4.1. Mutual Insurance Div.'!C24/'4.1. Mutual Insurance Div.'!C16</f>
        <v>0.5317444172546881</v>
      </c>
      <c r="E27" s="56">
        <f>+'4.1. Mutual Insurance Div.'!D24/'4.1. Mutual Insurance Div.'!D16</f>
        <v>0.8418853685713351</v>
      </c>
      <c r="F27" s="56">
        <f>+'4.1. Mutual Insurance Div.'!E24/'4.1. Mutual Insurance Div.'!E16</f>
        <v>0.805692921632837</v>
      </c>
      <c r="G27" s="56">
        <f>+'4.1. Mutual Insurance Div.'!F24/'4.1. Mutual Insurance Div.'!F16</f>
        <v>0.30085723453335567</v>
      </c>
      <c r="H27" s="56">
        <f>+'4.1. Mutual Insurance Div.'!G24/'4.1. Mutual Insurance Div.'!G16</f>
        <v>0.6725228834331962</v>
      </c>
      <c r="I27" s="56">
        <f>+'4.1. Mutual Insurance Div.'!H24/'4.1. Mutual Insurance Div.'!H16</f>
        <v>0.527270569177715</v>
      </c>
      <c r="J27" s="56">
        <f>+'4.1. Mutual Insurance Div.'!I24/'4.1. Mutual Insurance Div.'!I16</f>
        <v>0.6186631552689382</v>
      </c>
      <c r="K27" s="56">
        <f>+'4.1. Mutual Insurance Div.'!J24/'4.1. Mutual Insurance Div.'!J16</f>
        <v>0.001997479469205868</v>
      </c>
      <c r="L27" s="56">
        <f>+'4.1. Mutual Insurance Div.'!K24/'4.1. Mutual Insurance Div.'!K16</f>
        <v>0.6554343361862635</v>
      </c>
      <c r="M27" s="56">
        <f>+'4.1. Mutual Insurance Div.'!L24/'4.1. Mutual Insurance Div.'!L16</f>
        <v>0.20257781133010228</v>
      </c>
      <c r="N27" s="56">
        <f>+'4.1. Mutual Insurance Div.'!M24/'4.1. Mutual Insurance Div.'!M16</f>
        <v>1.5730809615916</v>
      </c>
      <c r="O27" s="56">
        <f>+'4.1. Mutual Insurance Div.'!N24/'4.1. Mutual Insurance Div.'!N16</f>
        <v>0.037912005093328954</v>
      </c>
      <c r="P27" s="56">
        <f>+'4.1. Mutual Insurance Div.'!O24/'4.1. Mutual Insurance Div.'!O16</f>
        <v>0.0018178209385862145</v>
      </c>
      <c r="Q27" s="56">
        <f>+'4.1. Mutual Insurance Div.'!P24/'4.1. Mutual Insurance Div.'!P16</f>
        <v>0.1569047298562667</v>
      </c>
      <c r="R27" s="56">
        <f>+'4.1. Mutual Insurance Div.'!Q24/'4.1. Mutual Insurance Div.'!Q16</f>
        <v>2.1841300430331247</v>
      </c>
      <c r="S27" s="56">
        <f>+'4.1. Mutual Insurance Div.'!R24/'4.1. Mutual Insurance Div.'!R16</f>
        <v>0.010080212608397756</v>
      </c>
      <c r="T27" s="56">
        <f>+'4.1. Mutual Insurance Div.'!S24/'4.1. Mutual Insurance Div.'!S16</f>
        <v>0.4132935502122318</v>
      </c>
      <c r="U27" s="56">
        <f>+'4.1. Mutual Insurance Div.'!T24/'4.1. Mutual Insurance Div.'!T16</f>
        <v>0.3952059847292464</v>
      </c>
      <c r="V27" s="57">
        <f>+'4.1. Mutual Insurance Div.'!U24/'4.1. Mutual Insurance Div.'!U16</f>
        <v>0.5434662528056605</v>
      </c>
      <c r="W27" s="56"/>
      <c r="X27" s="56">
        <f>+'4.1. Mutual Insurance Div.'!W24/'4.1. Mutual Insurance Div.'!W16</f>
        <v>0.0037245580444649996</v>
      </c>
      <c r="Y27" s="56">
        <f>+'4.1. Mutual Insurance Div.'!X24/'4.1. Mutual Insurance Div.'!X16</f>
        <v>0.11643150683618773</v>
      </c>
      <c r="Z27" s="56">
        <f>+'4.1. Mutual Insurance Div.'!Y24/'4.1. Mutual Insurance Div.'!Y16</f>
        <v>0.5595616067820651</v>
      </c>
      <c r="AA27" s="56">
        <f>+'4.1. Mutual Insurance Div.'!Z24/'4.1. Mutual Insurance Div.'!Z16</f>
        <v>1.5148527723008256</v>
      </c>
      <c r="AB27" s="56">
        <f>+'4.1. Mutual Insurance Div.'!AA24/'4.1. Mutual Insurance Div.'!AA16</f>
        <v>0.5544747127473157</v>
      </c>
      <c r="AC27" s="56">
        <f>+'4.1. Mutual Insurance Div.'!AB24/'4.1. Mutual Insurance Div.'!AB16</f>
        <v>0.35990229055840856</v>
      </c>
      <c r="AD27" s="56">
        <f>+'4.1. Mutual Insurance Div.'!AC24/'4.1. Mutual Insurance Div.'!AC16</f>
        <v>0.5981191090071432</v>
      </c>
      <c r="AE27" s="56">
        <f>+'4.1. Mutual Insurance Div.'!AD24/'4.1. Mutual Insurance Div.'!AD16</f>
        <v>0.6690626206734741</v>
      </c>
      <c r="AF27" s="56">
        <f>+'4.1. Mutual Insurance Div.'!AE24/'4.1. Mutual Insurance Div.'!AE16</f>
        <v>0.048579697093493086</v>
      </c>
      <c r="AG27" s="56">
        <f>+'4.1. Mutual Insurance Div.'!AF24/'4.1. Mutual Insurance Div.'!AF16</f>
        <v>1.9873290173144773</v>
      </c>
      <c r="AH27" s="56">
        <f>+'4.1. Mutual Insurance Div.'!AG24/'4.1. Mutual Insurance Div.'!AG16</f>
        <v>0.00032587945663537714</v>
      </c>
      <c r="AI27" s="56">
        <f>+'4.1. Mutual Insurance Div.'!AH24/'4.1. Mutual Insurance Div.'!AH16</f>
        <v>0.5117542676053699</v>
      </c>
      <c r="AJ27" s="56">
        <f>+'4.1. Mutual Insurance Div.'!AI24/'4.1. Mutual Insurance Div.'!AI16</f>
        <v>0.010416607333964949</v>
      </c>
      <c r="AK27" s="56">
        <f>+'4.1. Mutual Insurance Div.'!AJ24/'4.1. Mutual Insurance Div.'!AJ16</f>
        <v>0.0030321352990343403</v>
      </c>
      <c r="AL27" s="56">
        <f>+'4.1. Mutual Insurance Div.'!AK24/'4.1. Mutual Insurance Div.'!AK16</f>
        <v>0</v>
      </c>
      <c r="AM27" s="56">
        <f>+'4.1. Mutual Insurance Div.'!AL24/'4.1. Mutual Insurance Div.'!AL16</f>
        <v>0.8626790417772932</v>
      </c>
      <c r="AN27" s="56"/>
      <c r="AO27" s="56"/>
      <c r="AP27" s="56"/>
      <c r="AQ27" s="56">
        <f>+'4.1. Mutual Insurance Div.'!AP24/'4.1. Mutual Insurance Div.'!AP16</f>
        <v>0.5604838471052617</v>
      </c>
      <c r="AR27" s="56"/>
      <c r="AS27" s="56">
        <f>+'4.1. Mutual Insurance Div.'!AR24/'4.1. Mutual Insurance Div.'!AR16</f>
        <v>0.6257163323782235</v>
      </c>
      <c r="AT27" s="56">
        <f>+'4.1. Mutual Insurance Div.'!AS24/'4.1. Mutual Insurance Div.'!AS16</f>
        <v>0.9047133620166516</v>
      </c>
      <c r="AU27" s="56"/>
      <c r="AV27" s="56">
        <f>+'4.1. Mutual Insurance Div.'!AU24/'4.1. Mutual Insurance Div.'!AU16</f>
        <v>0</v>
      </c>
      <c r="AW27" s="56">
        <f>+'4.1. Mutual Insurance Div.'!AV24/'4.1. Mutual Insurance Div.'!AV16</f>
        <v>0.8312849664077469</v>
      </c>
      <c r="AX27" s="56"/>
      <c r="AY27" s="56">
        <f>+'4.1. Mutual Insurance Div.'!AX24/'4.1. Mutual Insurance Div.'!AX16</f>
        <v>1.2185817198382116</v>
      </c>
      <c r="AZ27" s="56">
        <f>+'4.1. Mutual Insurance Div.'!AY24/'4.1. Mutual Insurance Div.'!AY16</f>
        <v>2.7228669675478185</v>
      </c>
      <c r="BA27" s="56"/>
      <c r="BB27" s="56"/>
      <c r="BC27" s="56">
        <f>+'4.1. Mutual Insurance Div.'!BB24/'4.1. Mutual Insurance Div.'!BB16</f>
        <v>0.982728984202341</v>
      </c>
      <c r="BD27" s="56"/>
      <c r="BE27" s="56"/>
      <c r="BF27" s="56">
        <f>+'4.1. Mutual Insurance Div.'!BE24/'4.1. Mutual Insurance Div.'!BE16</f>
        <v>1.0873793199944033</v>
      </c>
      <c r="BG27" s="56">
        <f>+'4.1. Mutual Insurance Div.'!BF24/'4.1. Mutual Insurance Div.'!BF16</f>
        <v>1.2759721864537727</v>
      </c>
      <c r="BH27" s="56"/>
      <c r="BI27" s="56">
        <f>+'4.1. Mutual Insurance Div.'!BH24/'4.1. Mutual Insurance Div.'!BH16</f>
        <v>1.8433825463638585</v>
      </c>
      <c r="BJ27" s="56"/>
      <c r="BK27" s="56"/>
      <c r="BL27" s="56">
        <f>+'4.1. Mutual Insurance Div.'!BK24/'4.1. Mutual Insurance Div.'!BK16</f>
        <v>0.44032037812264874</v>
      </c>
      <c r="BM27" s="56"/>
      <c r="BN27" s="56">
        <f>+'4.1. Mutual Insurance Div.'!BM24/'4.1. Mutual Insurance Div.'!BM16</f>
        <v>0.5205762036582916</v>
      </c>
      <c r="BO27" s="56">
        <f>+'4.1. Mutual Insurance Div.'!BN24/'4.1. Mutual Insurance Div.'!BN16</f>
        <v>0.389106491718151</v>
      </c>
      <c r="BP27" s="54"/>
      <c r="BQ27" s="54"/>
    </row>
    <row r="28" spans="1:69" ht="12.75">
      <c r="A28" s="248"/>
      <c r="B28" s="204"/>
      <c r="C28" s="56"/>
      <c r="D28" s="56"/>
      <c r="E28" s="56"/>
      <c r="F28" s="56"/>
      <c r="G28" s="53"/>
      <c r="H28" s="56"/>
      <c r="I28" s="56"/>
      <c r="J28" s="56"/>
      <c r="K28" s="56"/>
      <c r="L28" s="57"/>
      <c r="M28" s="56"/>
      <c r="N28" s="30"/>
      <c r="O28" s="30"/>
      <c r="P28" s="56"/>
      <c r="Q28" s="53"/>
      <c r="R28" s="57"/>
      <c r="T28" s="56"/>
      <c r="U28" s="56"/>
      <c r="V28" s="57"/>
      <c r="W28" s="56"/>
      <c r="X28" s="56"/>
      <c r="Y28" s="57"/>
      <c r="Z28" s="53"/>
      <c r="AA28" s="53"/>
      <c r="AB28" s="56"/>
      <c r="AC28" s="56"/>
      <c r="AD28" s="56"/>
      <c r="AE28" s="56"/>
      <c r="AF28" s="56"/>
      <c r="AG28" s="56"/>
      <c r="AH28" s="56"/>
      <c r="AI28" s="56"/>
      <c r="AJ28" s="56"/>
      <c r="AL28" s="59"/>
      <c r="AM28" s="53"/>
      <c r="AN28" s="56"/>
      <c r="AO28" s="91"/>
      <c r="AP28" s="92"/>
      <c r="AQ28" s="56"/>
      <c r="AR28" s="56"/>
      <c r="AS28" s="53"/>
      <c r="AT28" s="55"/>
      <c r="AU28" s="56"/>
      <c r="AV28" s="56"/>
      <c r="AW28" s="56"/>
      <c r="AX28" s="56"/>
      <c r="AY28" s="57"/>
      <c r="AZ28" s="53"/>
      <c r="BA28" s="56"/>
      <c r="BB28" s="53"/>
      <c r="BC28" s="53"/>
      <c r="BD28" s="56"/>
      <c r="BE28" s="53"/>
      <c r="BF28" s="56"/>
      <c r="BG28" s="56"/>
      <c r="BH28" s="53"/>
      <c r="BJ28" s="57"/>
      <c r="BL28" s="56"/>
      <c r="BM28" s="56"/>
      <c r="BN28" s="13"/>
      <c r="BO28" s="13"/>
      <c r="BP28" s="54"/>
      <c r="BQ28" s="54"/>
    </row>
    <row r="29" spans="1:69" s="118" customFormat="1" ht="13.5" customHeight="1">
      <c r="A29" s="267" t="s">
        <v>469</v>
      </c>
      <c r="B29" s="229">
        <v>9</v>
      </c>
      <c r="C29" s="86">
        <v>-0.049</v>
      </c>
      <c r="D29" s="59">
        <v>-0.64</v>
      </c>
      <c r="E29" s="59">
        <v>-0.916</v>
      </c>
      <c r="F29" s="59">
        <v>-0.932</v>
      </c>
      <c r="G29" s="59">
        <v>-0.086</v>
      </c>
      <c r="H29" s="59">
        <v>-0.02</v>
      </c>
      <c r="I29" s="59">
        <v>-0.07</v>
      </c>
      <c r="J29" s="59">
        <v>-0.096</v>
      </c>
      <c r="K29" s="59">
        <v>0.029</v>
      </c>
      <c r="L29" s="58">
        <v>-0.12</v>
      </c>
      <c r="M29" s="59">
        <v>-0.059</v>
      </c>
      <c r="N29" s="58">
        <v>-0.087</v>
      </c>
      <c r="O29" s="58">
        <v>-0.028</v>
      </c>
      <c r="P29" s="58">
        <v>0.021</v>
      </c>
      <c r="Q29" s="59">
        <v>0.049</v>
      </c>
      <c r="R29" s="58">
        <v>-0.09</v>
      </c>
      <c r="S29" s="127">
        <v>0.06</v>
      </c>
      <c r="T29" s="59">
        <v>-0.19</v>
      </c>
      <c r="U29" s="59">
        <v>-0.097</v>
      </c>
      <c r="V29" s="58">
        <v>-0.097</v>
      </c>
      <c r="W29" s="59"/>
      <c r="X29" s="59">
        <v>-0.032</v>
      </c>
      <c r="Y29" s="58">
        <v>-0.089</v>
      </c>
      <c r="Z29" s="59">
        <v>-0.098</v>
      </c>
      <c r="AA29" s="59">
        <v>-0.119</v>
      </c>
      <c r="AB29" s="59">
        <v>-0.091</v>
      </c>
      <c r="AC29" s="58">
        <v>-0.615</v>
      </c>
      <c r="AD29" s="59">
        <v>-0.064</v>
      </c>
      <c r="AE29" s="59">
        <v>-0.07</v>
      </c>
      <c r="AF29" s="59">
        <v>0.016</v>
      </c>
      <c r="AG29" s="59">
        <v>0.062</v>
      </c>
      <c r="AH29" s="59">
        <v>0.062</v>
      </c>
      <c r="AI29" s="60">
        <v>-5.4</v>
      </c>
      <c r="AJ29" s="59">
        <v>-0.063</v>
      </c>
      <c r="AK29" s="59">
        <v>0.001</v>
      </c>
      <c r="AL29" s="59">
        <v>0.031</v>
      </c>
      <c r="AM29" s="59">
        <v>-0.814</v>
      </c>
      <c r="AO29" s="156"/>
      <c r="AP29" s="157"/>
      <c r="AQ29" s="59">
        <v>-0.018</v>
      </c>
      <c r="AR29" s="59"/>
      <c r="AS29" s="59">
        <v>-0.152</v>
      </c>
      <c r="AT29" s="58">
        <v>-0.556</v>
      </c>
      <c r="AU29" s="59"/>
      <c r="AV29" s="135">
        <v>0.057</v>
      </c>
      <c r="AW29" s="59">
        <v>-0.66</v>
      </c>
      <c r="AX29" s="59"/>
      <c r="AY29" s="58">
        <v>-0.77</v>
      </c>
      <c r="AZ29" s="59">
        <v>-0.681</v>
      </c>
      <c r="BB29" s="59">
        <v>-0.079</v>
      </c>
      <c r="BC29" s="59">
        <v>-0.749</v>
      </c>
      <c r="BF29" s="58">
        <v>-0.652</v>
      </c>
      <c r="BG29" s="59">
        <v>-0.788</v>
      </c>
      <c r="BH29" s="59"/>
      <c r="BI29" s="57">
        <v>-0.92</v>
      </c>
      <c r="BJ29" s="58"/>
      <c r="BL29" s="59"/>
      <c r="BM29" s="59"/>
      <c r="BN29" s="13"/>
      <c r="BO29" s="13"/>
      <c r="BP29" s="59"/>
      <c r="BQ29" s="61"/>
    </row>
    <row r="30" spans="1:69" s="118" customFormat="1" ht="16.5" customHeight="1">
      <c r="A30" s="267" t="s">
        <v>470</v>
      </c>
      <c r="B30" s="229">
        <v>10</v>
      </c>
      <c r="C30" s="86">
        <v>0.222</v>
      </c>
      <c r="D30" s="59">
        <v>-0.653</v>
      </c>
      <c r="E30" s="59">
        <v>-0.957</v>
      </c>
      <c r="F30" s="59">
        <v>-0.965</v>
      </c>
      <c r="G30" s="59">
        <v>0.101</v>
      </c>
      <c r="H30" s="59">
        <v>0.081</v>
      </c>
      <c r="I30" s="59">
        <v>0.027</v>
      </c>
      <c r="J30" s="59">
        <v>-0.02</v>
      </c>
      <c r="K30" s="59">
        <v>0.173</v>
      </c>
      <c r="L30" s="58">
        <v>-0.06</v>
      </c>
      <c r="M30" s="59">
        <v>0.212</v>
      </c>
      <c r="N30" s="58">
        <v>-0.03</v>
      </c>
      <c r="O30" s="58">
        <v>0.403</v>
      </c>
      <c r="P30" s="58">
        <v>0.028</v>
      </c>
      <c r="Q30" s="58">
        <v>0.077</v>
      </c>
      <c r="R30" s="58">
        <v>-0.066</v>
      </c>
      <c r="S30" s="127">
        <v>0.173</v>
      </c>
      <c r="T30" s="59">
        <v>-0.196</v>
      </c>
      <c r="U30" s="59">
        <v>-0.178</v>
      </c>
      <c r="V30" s="58">
        <v>-0.035</v>
      </c>
      <c r="W30" s="59">
        <v>-0.056</v>
      </c>
      <c r="X30" s="59">
        <v>0.017</v>
      </c>
      <c r="Y30" s="58">
        <v>-0.226</v>
      </c>
      <c r="Z30" s="59">
        <v>-0.099</v>
      </c>
      <c r="AA30" s="59">
        <v>-0.081</v>
      </c>
      <c r="AB30" s="59">
        <v>0.042</v>
      </c>
      <c r="AC30" s="58">
        <v>-0.615</v>
      </c>
      <c r="AD30" s="59">
        <v>-0.034</v>
      </c>
      <c r="AE30" s="59">
        <v>-0.003</v>
      </c>
      <c r="AF30" s="59">
        <v>-0.064</v>
      </c>
      <c r="AG30" s="59">
        <v>0.104</v>
      </c>
      <c r="AH30" s="59">
        <v>0.323</v>
      </c>
      <c r="AI30" s="60">
        <v>-3</v>
      </c>
      <c r="AJ30" s="59">
        <v>0.237</v>
      </c>
      <c r="AK30" s="59">
        <v>0.114</v>
      </c>
      <c r="AL30" s="59">
        <v>0.186</v>
      </c>
      <c r="AM30" s="59">
        <v>-0.878</v>
      </c>
      <c r="AN30" s="59">
        <v>-0.1</v>
      </c>
      <c r="AO30" s="58">
        <v>-0.035</v>
      </c>
      <c r="AP30" s="58">
        <v>0</v>
      </c>
      <c r="AQ30" s="59">
        <v>0.08</v>
      </c>
      <c r="AR30" s="59">
        <v>-0.07</v>
      </c>
      <c r="AS30" s="59">
        <v>-0.098</v>
      </c>
      <c r="AT30" s="58">
        <v>-0.507</v>
      </c>
      <c r="AU30" s="59">
        <v>-0.082</v>
      </c>
      <c r="AV30" s="135">
        <v>0.384</v>
      </c>
      <c r="AW30" s="59">
        <v>-0.66</v>
      </c>
      <c r="AX30" s="59">
        <v>-0.025</v>
      </c>
      <c r="AY30" s="58">
        <v>-0.81</v>
      </c>
      <c r="AZ30" s="59">
        <v>-0.692</v>
      </c>
      <c r="BA30" s="59">
        <v>-0.025</v>
      </c>
      <c r="BB30" s="59">
        <v>-0.079</v>
      </c>
      <c r="BC30" s="59">
        <v>-0.792</v>
      </c>
      <c r="BD30" s="59">
        <v>-0.039</v>
      </c>
      <c r="BE30" s="58">
        <v>0.002</v>
      </c>
      <c r="BF30" s="58">
        <v>-0.645</v>
      </c>
      <c r="BG30" s="59">
        <v>-0.804</v>
      </c>
      <c r="BH30" s="59">
        <v>-0.964</v>
      </c>
      <c r="BI30" s="57">
        <v>-0.98</v>
      </c>
      <c r="BJ30" s="58"/>
      <c r="BL30" s="59"/>
      <c r="BM30" s="59"/>
      <c r="BN30" s="13"/>
      <c r="BO30" s="13"/>
      <c r="BP30" s="59"/>
      <c r="BQ30" s="61"/>
    </row>
    <row r="31" spans="1:69" ht="12.75">
      <c r="A31" s="247"/>
      <c r="B31" s="23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0"/>
      <c r="O31" s="50"/>
      <c r="P31" s="52"/>
      <c r="Q31" s="50"/>
      <c r="R31" s="50"/>
      <c r="S31" s="50"/>
      <c r="T31" s="52"/>
      <c r="U31" s="52"/>
      <c r="V31" s="52"/>
      <c r="W31" s="52"/>
      <c r="X31" s="52"/>
      <c r="Y31" s="30"/>
      <c r="Z31" s="52"/>
      <c r="AA31" s="52"/>
      <c r="AB31" s="53"/>
      <c r="AC31" s="53"/>
      <c r="AD31" s="53"/>
      <c r="AE31" s="53"/>
      <c r="AF31" s="53"/>
      <c r="AG31" s="52"/>
      <c r="AH31" s="52"/>
      <c r="AI31" s="53"/>
      <c r="AJ31" s="119"/>
      <c r="AK31" s="53"/>
      <c r="AL31" s="59"/>
      <c r="AM31" s="53"/>
      <c r="AN31" s="53"/>
      <c r="AO31" s="52"/>
      <c r="AP31" s="52"/>
      <c r="AQ31" s="53"/>
      <c r="AR31" s="53"/>
      <c r="AS31" s="53"/>
      <c r="AT31" s="58"/>
      <c r="AU31" s="53"/>
      <c r="AV31" s="53"/>
      <c r="AW31" s="53"/>
      <c r="AX31" s="53"/>
      <c r="AY31" s="30"/>
      <c r="AZ31" s="53"/>
      <c r="BA31" s="53"/>
      <c r="BB31" s="53"/>
      <c r="BC31" s="53"/>
      <c r="BD31" s="53"/>
      <c r="BE31" s="53"/>
      <c r="BF31" s="53"/>
      <c r="BG31" s="53"/>
      <c r="BI31" s="30"/>
      <c r="BJ31" s="53"/>
      <c r="BL31" s="53"/>
      <c r="BM31" s="53"/>
      <c r="BN31" s="13"/>
      <c r="BO31" s="13"/>
      <c r="BP31" s="53"/>
      <c r="BQ31" s="53"/>
    </row>
    <row r="32" spans="1:187" s="120" customFormat="1" ht="12.75">
      <c r="A32" s="246" t="s">
        <v>471</v>
      </c>
      <c r="B32" s="204"/>
      <c r="C32" s="63"/>
      <c r="D32" s="63"/>
      <c r="E32" s="160" t="s">
        <v>535</v>
      </c>
      <c r="F32" s="160" t="s">
        <v>535</v>
      </c>
      <c r="G32" s="62"/>
      <c r="H32" s="62"/>
      <c r="I32" s="62"/>
      <c r="J32" s="62"/>
      <c r="K32" s="62"/>
      <c r="M32" s="62"/>
      <c r="N32" s="160" t="s">
        <v>535</v>
      </c>
      <c r="O32" s="62"/>
      <c r="P32" s="160" t="s">
        <v>540</v>
      </c>
      <c r="Q32" s="62"/>
      <c r="R32" s="62"/>
      <c r="S32" s="62"/>
      <c r="T32" s="62"/>
      <c r="U32" s="62"/>
      <c r="V32" s="62"/>
      <c r="W32" s="160" t="s">
        <v>535</v>
      </c>
      <c r="X32" s="160" t="s">
        <v>535</v>
      </c>
      <c r="Y32" s="62"/>
      <c r="Z32" s="62"/>
      <c r="AA32" s="62"/>
      <c r="AB32" s="63"/>
      <c r="AC32" s="63"/>
      <c r="AD32" s="63"/>
      <c r="AE32" s="62"/>
      <c r="AF32" s="62"/>
      <c r="AG32" s="62"/>
      <c r="AH32" s="160" t="s">
        <v>535</v>
      </c>
      <c r="AI32" s="63"/>
      <c r="AJ32" s="160" t="s">
        <v>535</v>
      </c>
      <c r="AK32" s="160" t="s">
        <v>535</v>
      </c>
      <c r="AL32" s="160" t="s">
        <v>535</v>
      </c>
      <c r="AM32" s="63"/>
      <c r="AN32" s="63"/>
      <c r="AO32" s="62"/>
      <c r="AP32" s="62"/>
      <c r="AQ32" s="63"/>
      <c r="AR32" s="63"/>
      <c r="AS32" s="63"/>
      <c r="AT32" s="58"/>
      <c r="AU32" s="63"/>
      <c r="AV32" s="160" t="s">
        <v>535</v>
      </c>
      <c r="AW32" s="63"/>
      <c r="AX32" s="63"/>
      <c r="AY32" s="62"/>
      <c r="AZ32" s="63"/>
      <c r="BA32" s="63"/>
      <c r="BB32" s="63"/>
      <c r="BC32" s="63"/>
      <c r="BD32" s="63"/>
      <c r="BE32" s="63"/>
      <c r="BF32" s="63"/>
      <c r="BG32" s="63"/>
      <c r="BH32" s="1"/>
      <c r="BI32" s="45"/>
      <c r="BJ32" s="63"/>
      <c r="BL32" s="63"/>
      <c r="BM32" s="63"/>
      <c r="BN32" s="64"/>
      <c r="BO32" s="64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</row>
    <row r="33" spans="1:187" s="120" customFormat="1" ht="12.75">
      <c r="A33" s="268"/>
      <c r="B33" s="204"/>
      <c r="C33" s="63"/>
      <c r="D33" s="63"/>
      <c r="E33" s="160" t="s">
        <v>534</v>
      </c>
      <c r="F33" s="160" t="s">
        <v>534</v>
      </c>
      <c r="G33" s="62"/>
      <c r="H33" s="62"/>
      <c r="I33" s="62"/>
      <c r="J33" s="62"/>
      <c r="K33" s="62"/>
      <c r="M33" s="62"/>
      <c r="N33" s="160" t="s">
        <v>533</v>
      </c>
      <c r="O33" s="62"/>
      <c r="P33" s="160" t="s">
        <v>539</v>
      </c>
      <c r="Q33" s="62"/>
      <c r="R33" s="62"/>
      <c r="S33" s="62"/>
      <c r="T33" s="62"/>
      <c r="U33" s="62"/>
      <c r="V33" s="62"/>
      <c r="W33" s="160" t="s">
        <v>533</v>
      </c>
      <c r="X33" s="160" t="s">
        <v>534</v>
      </c>
      <c r="Y33" s="62"/>
      <c r="Z33" s="62"/>
      <c r="AA33" s="62"/>
      <c r="AB33" s="63"/>
      <c r="AC33" s="63"/>
      <c r="AD33" s="63"/>
      <c r="AE33" s="62"/>
      <c r="AF33" s="160" t="s">
        <v>540</v>
      </c>
      <c r="AG33" s="62"/>
      <c r="AH33" s="160" t="s">
        <v>534</v>
      </c>
      <c r="AI33" s="63"/>
      <c r="AJ33" s="160" t="s">
        <v>534</v>
      </c>
      <c r="AK33" s="160" t="s">
        <v>534</v>
      </c>
      <c r="AL33" s="160" t="s">
        <v>536</v>
      </c>
      <c r="AM33" s="63"/>
      <c r="AN33" s="63"/>
      <c r="AO33" s="62"/>
      <c r="AP33" s="62"/>
      <c r="AQ33" s="63"/>
      <c r="AR33" s="63"/>
      <c r="AS33" s="63"/>
      <c r="AT33" s="58"/>
      <c r="AU33" s="63"/>
      <c r="AV33" s="160" t="s">
        <v>536</v>
      </c>
      <c r="AW33" s="63"/>
      <c r="AX33" s="63"/>
      <c r="AY33" s="62"/>
      <c r="AZ33" s="63"/>
      <c r="BA33" s="63"/>
      <c r="BB33" s="63"/>
      <c r="BC33" s="63"/>
      <c r="BD33" s="63"/>
      <c r="BE33" s="63"/>
      <c r="BF33" s="63"/>
      <c r="BG33" s="63"/>
      <c r="BH33" s="1"/>
      <c r="BI33" s="45"/>
      <c r="BJ33" s="63"/>
      <c r="BL33" s="63"/>
      <c r="BM33" s="63"/>
      <c r="BN33" s="64"/>
      <c r="BO33" s="64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</row>
    <row r="34" spans="1:187" s="120" customFormat="1" ht="12.75">
      <c r="A34" s="65"/>
      <c r="B34" s="204"/>
      <c r="D34" s="63"/>
      <c r="E34" s="63"/>
      <c r="F34" s="63"/>
      <c r="G34" s="62"/>
      <c r="H34" s="62"/>
      <c r="I34" s="62"/>
      <c r="J34" s="62"/>
      <c r="K34" s="62"/>
      <c r="M34" s="62"/>
      <c r="N34" s="62"/>
      <c r="O34" s="62"/>
      <c r="P34" s="63"/>
      <c r="Q34" s="62"/>
      <c r="R34" s="62"/>
      <c r="S34" s="62"/>
      <c r="T34" s="62"/>
      <c r="U34" s="62"/>
      <c r="V34" s="62"/>
      <c r="W34" s="62"/>
      <c r="X34" s="160" t="s">
        <v>540</v>
      </c>
      <c r="Y34" s="62"/>
      <c r="Z34" s="62"/>
      <c r="AA34" s="62"/>
      <c r="AB34" s="63"/>
      <c r="AC34" s="63"/>
      <c r="AD34" s="63"/>
      <c r="AE34" s="62"/>
      <c r="AF34" s="160" t="s">
        <v>539</v>
      </c>
      <c r="AG34" s="62"/>
      <c r="AH34" s="160" t="s">
        <v>540</v>
      </c>
      <c r="AI34" s="63"/>
      <c r="AJ34" s="63"/>
      <c r="AK34" s="63"/>
      <c r="AL34" s="160" t="s">
        <v>540</v>
      </c>
      <c r="AM34" s="63"/>
      <c r="AN34" s="63"/>
      <c r="AO34" s="62"/>
      <c r="AP34" s="62"/>
      <c r="AQ34" s="63"/>
      <c r="AR34" s="63"/>
      <c r="AS34" s="63"/>
      <c r="AT34" s="58"/>
      <c r="AU34" s="63"/>
      <c r="AV34" s="62"/>
      <c r="AW34" s="63"/>
      <c r="AX34" s="63"/>
      <c r="AY34" s="62"/>
      <c r="AZ34" s="63"/>
      <c r="BA34" s="63"/>
      <c r="BB34" s="63"/>
      <c r="BC34" s="63"/>
      <c r="BD34" s="63"/>
      <c r="BE34" s="63"/>
      <c r="BF34" s="63"/>
      <c r="BG34" s="63"/>
      <c r="BH34" s="1"/>
      <c r="BI34" s="45"/>
      <c r="BJ34" s="63"/>
      <c r="BL34" s="63"/>
      <c r="BM34" s="63"/>
      <c r="BN34" s="64"/>
      <c r="BO34" s="64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</row>
    <row r="35" spans="1:187" s="120" customFormat="1" ht="12.75">
      <c r="A35" s="64"/>
      <c r="B35" s="231"/>
      <c r="D35" s="63"/>
      <c r="E35" s="63"/>
      <c r="F35" s="63"/>
      <c r="G35" s="62"/>
      <c r="H35" s="62"/>
      <c r="I35" s="62"/>
      <c r="J35" s="62"/>
      <c r="K35" s="62"/>
      <c r="M35" s="62"/>
      <c r="N35" s="62"/>
      <c r="O35" s="62"/>
      <c r="Q35" s="62"/>
      <c r="R35" s="62"/>
      <c r="S35" s="62"/>
      <c r="T35" s="62"/>
      <c r="U35" s="62"/>
      <c r="V35" s="62"/>
      <c r="W35" s="62"/>
      <c r="X35" s="160" t="s">
        <v>539</v>
      </c>
      <c r="Y35" s="62"/>
      <c r="Z35" s="62"/>
      <c r="AA35" s="62"/>
      <c r="AB35" s="63"/>
      <c r="AC35" s="63"/>
      <c r="AD35" s="63"/>
      <c r="AE35" s="62"/>
      <c r="AF35" s="62"/>
      <c r="AG35" s="62"/>
      <c r="AH35" s="160" t="s">
        <v>539</v>
      </c>
      <c r="AI35" s="63"/>
      <c r="AJ35" s="63"/>
      <c r="AK35" s="63"/>
      <c r="AL35" s="160" t="s">
        <v>539</v>
      </c>
      <c r="AM35" s="63"/>
      <c r="AN35" s="63"/>
      <c r="AO35" s="62"/>
      <c r="AP35" s="62"/>
      <c r="AQ35" s="63"/>
      <c r="AR35" s="63"/>
      <c r="AS35" s="63"/>
      <c r="AT35" s="58"/>
      <c r="AU35" s="63"/>
      <c r="AV35" s="62"/>
      <c r="AW35" s="63"/>
      <c r="AX35" s="63"/>
      <c r="AY35" s="62"/>
      <c r="AZ35" s="63"/>
      <c r="BA35" s="63"/>
      <c r="BB35" s="63"/>
      <c r="BC35" s="63"/>
      <c r="BD35" s="63"/>
      <c r="BE35" s="63"/>
      <c r="BF35" s="63"/>
      <c r="BG35" s="63"/>
      <c r="BH35" s="1"/>
      <c r="BI35" s="45"/>
      <c r="BJ35" s="63"/>
      <c r="BL35" s="63"/>
      <c r="BM35" s="63"/>
      <c r="BN35" s="64"/>
      <c r="BO35" s="64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</row>
    <row r="36" spans="1:187" s="120" customFormat="1" ht="12.75">
      <c r="A36" s="219"/>
      <c r="B36" s="231"/>
      <c r="C36" s="219" t="s">
        <v>473</v>
      </c>
      <c r="D36" s="63"/>
      <c r="E36" s="63"/>
      <c r="F36" s="63"/>
      <c r="G36" s="65"/>
      <c r="H36" s="62"/>
      <c r="I36" s="62"/>
      <c r="J36" s="219" t="s">
        <v>473</v>
      </c>
      <c r="K36" s="62"/>
      <c r="L36" s="62"/>
      <c r="M36" s="62"/>
      <c r="N36" s="31"/>
      <c r="O36" s="31"/>
      <c r="P36" s="65"/>
      <c r="Q36" s="219" t="s">
        <v>473</v>
      </c>
      <c r="R36" s="62"/>
      <c r="S36" s="31"/>
      <c r="T36" s="62"/>
      <c r="U36" s="62"/>
      <c r="V36" s="62"/>
      <c r="W36" s="62"/>
      <c r="X36" s="219" t="s">
        <v>473</v>
      </c>
      <c r="Y36" s="62"/>
      <c r="Z36" s="62"/>
      <c r="AA36" s="62"/>
      <c r="AB36" s="63"/>
      <c r="AC36" s="63"/>
      <c r="AD36" s="63"/>
      <c r="AE36" s="219" t="s">
        <v>473</v>
      </c>
      <c r="AF36" s="65"/>
      <c r="AG36" s="62"/>
      <c r="AH36" s="63"/>
      <c r="AI36" s="63"/>
      <c r="AJ36" s="63"/>
      <c r="AK36" s="63"/>
      <c r="AL36" s="219" t="s">
        <v>473</v>
      </c>
      <c r="AM36" s="63"/>
      <c r="AN36" s="63"/>
      <c r="AO36" s="62"/>
      <c r="AP36" s="62"/>
      <c r="AQ36" s="63"/>
      <c r="AR36" s="63"/>
      <c r="AS36" s="219" t="s">
        <v>473</v>
      </c>
      <c r="AT36" s="58"/>
      <c r="AU36" s="65"/>
      <c r="AV36" s="62"/>
      <c r="AW36" s="63"/>
      <c r="AX36" s="63"/>
      <c r="AY36" s="219" t="s">
        <v>473</v>
      </c>
      <c r="AZ36" s="65"/>
      <c r="BA36" s="63"/>
      <c r="BB36" s="63"/>
      <c r="BC36" s="63"/>
      <c r="BD36" s="63"/>
      <c r="BE36" s="219" t="s">
        <v>473</v>
      </c>
      <c r="BF36" s="63"/>
      <c r="BG36" s="65"/>
      <c r="BH36" s="1"/>
      <c r="BI36" s="45"/>
      <c r="BJ36" s="63"/>
      <c r="BK36" s="219" t="s">
        <v>473</v>
      </c>
      <c r="BL36" s="65"/>
      <c r="BM36" s="63"/>
      <c r="BN36" s="64"/>
      <c r="BO36" s="64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</row>
    <row r="37" spans="1:187" s="120" customFormat="1" ht="12.75">
      <c r="A37" s="165"/>
      <c r="B37" s="231"/>
      <c r="C37" s="165" t="s">
        <v>482</v>
      </c>
      <c r="D37" s="63"/>
      <c r="E37" s="63"/>
      <c r="F37" s="63"/>
      <c r="G37" s="64"/>
      <c r="H37" s="62"/>
      <c r="I37" s="62"/>
      <c r="J37" s="165" t="s">
        <v>482</v>
      </c>
      <c r="K37" s="62"/>
      <c r="L37" s="62"/>
      <c r="M37" s="62"/>
      <c r="N37" s="32"/>
      <c r="O37" s="32"/>
      <c r="P37" s="64"/>
      <c r="Q37" s="165" t="s">
        <v>482</v>
      </c>
      <c r="R37" s="62"/>
      <c r="S37" s="32"/>
      <c r="T37" s="62"/>
      <c r="U37" s="62"/>
      <c r="V37" s="62"/>
      <c r="W37" s="62"/>
      <c r="X37" s="165" t="s">
        <v>482</v>
      </c>
      <c r="Y37" s="62"/>
      <c r="Z37" s="62"/>
      <c r="AA37" s="62"/>
      <c r="AB37" s="63"/>
      <c r="AC37" s="63"/>
      <c r="AD37" s="63"/>
      <c r="AE37" s="165" t="s">
        <v>482</v>
      </c>
      <c r="AF37" s="64"/>
      <c r="AG37" s="62"/>
      <c r="AH37" s="63"/>
      <c r="AI37" s="63"/>
      <c r="AJ37" s="63"/>
      <c r="AK37" s="63"/>
      <c r="AL37" s="165" t="s">
        <v>482</v>
      </c>
      <c r="AM37" s="63"/>
      <c r="AN37" s="63"/>
      <c r="AO37" s="62"/>
      <c r="AP37" s="62"/>
      <c r="AQ37" s="63"/>
      <c r="AR37" s="63"/>
      <c r="AS37" s="165" t="s">
        <v>482</v>
      </c>
      <c r="AT37" s="58"/>
      <c r="AU37" s="64"/>
      <c r="AV37" s="62"/>
      <c r="AW37" s="63"/>
      <c r="AX37" s="63"/>
      <c r="AY37" s="165" t="s">
        <v>482</v>
      </c>
      <c r="AZ37" s="64"/>
      <c r="BA37" s="63"/>
      <c r="BB37" s="63"/>
      <c r="BC37" s="63"/>
      <c r="BD37" s="63"/>
      <c r="BE37" s="165" t="s">
        <v>482</v>
      </c>
      <c r="BF37" s="63"/>
      <c r="BG37" s="64"/>
      <c r="BH37" s="1"/>
      <c r="BI37" s="45"/>
      <c r="BJ37" s="63"/>
      <c r="BK37" s="165" t="s">
        <v>482</v>
      </c>
      <c r="BL37" s="64"/>
      <c r="BM37" s="63"/>
      <c r="BN37" s="64"/>
      <c r="BO37" s="64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</row>
    <row r="38" spans="1:187" s="120" customFormat="1" ht="12.75">
      <c r="A38" s="165"/>
      <c r="B38" s="231"/>
      <c r="C38" s="165" t="s">
        <v>474</v>
      </c>
      <c r="D38" s="63"/>
      <c r="E38" s="63"/>
      <c r="F38" s="63"/>
      <c r="G38" s="64"/>
      <c r="H38" s="62"/>
      <c r="I38" s="62"/>
      <c r="J38" s="165" t="s">
        <v>474</v>
      </c>
      <c r="K38" s="62"/>
      <c r="L38" s="62"/>
      <c r="M38" s="62"/>
      <c r="N38" s="32"/>
      <c r="O38" s="32"/>
      <c r="P38" s="64"/>
      <c r="Q38" s="165" t="s">
        <v>474</v>
      </c>
      <c r="R38" s="62"/>
      <c r="S38" s="32"/>
      <c r="T38" s="62"/>
      <c r="U38" s="62"/>
      <c r="V38" s="62"/>
      <c r="W38" s="62"/>
      <c r="X38" s="165" t="s">
        <v>474</v>
      </c>
      <c r="Y38" s="62"/>
      <c r="Z38" s="62"/>
      <c r="AA38" s="62"/>
      <c r="AB38" s="63"/>
      <c r="AC38" s="63"/>
      <c r="AD38" s="63"/>
      <c r="AE38" s="165" t="s">
        <v>474</v>
      </c>
      <c r="AF38" s="64"/>
      <c r="AG38" s="62"/>
      <c r="AH38" s="63"/>
      <c r="AI38" s="63"/>
      <c r="AJ38" s="63"/>
      <c r="AK38" s="63"/>
      <c r="AL38" s="165" t="s">
        <v>474</v>
      </c>
      <c r="AM38" s="63"/>
      <c r="AN38" s="63"/>
      <c r="AO38" s="62"/>
      <c r="AP38" s="62"/>
      <c r="AQ38" s="63"/>
      <c r="AR38" s="63"/>
      <c r="AS38" s="165" t="s">
        <v>474</v>
      </c>
      <c r="AT38" s="58"/>
      <c r="AU38" s="64"/>
      <c r="AV38" s="62"/>
      <c r="AW38" s="63"/>
      <c r="AX38" s="63"/>
      <c r="AY38" s="165" t="s">
        <v>474</v>
      </c>
      <c r="AZ38" s="64"/>
      <c r="BA38" s="63"/>
      <c r="BB38" s="63"/>
      <c r="BC38" s="63"/>
      <c r="BD38" s="63"/>
      <c r="BE38" s="165" t="s">
        <v>474</v>
      </c>
      <c r="BF38" s="63"/>
      <c r="BG38" s="64"/>
      <c r="BH38" s="1"/>
      <c r="BI38" s="45"/>
      <c r="BJ38" s="63"/>
      <c r="BK38" s="165" t="s">
        <v>474</v>
      </c>
      <c r="BL38" s="64"/>
      <c r="BM38" s="63"/>
      <c r="BN38" s="64"/>
      <c r="BO38" s="64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</row>
    <row r="39" spans="1:187" s="120" customFormat="1" ht="12.75">
      <c r="A39" s="165"/>
      <c r="B39" s="231"/>
      <c r="C39" s="165" t="s">
        <v>475</v>
      </c>
      <c r="D39" s="63"/>
      <c r="E39" s="63"/>
      <c r="F39" s="63"/>
      <c r="G39" s="64"/>
      <c r="H39" s="62"/>
      <c r="I39" s="62"/>
      <c r="J39" s="165" t="s">
        <v>475</v>
      </c>
      <c r="K39" s="62"/>
      <c r="L39" s="62"/>
      <c r="M39" s="62"/>
      <c r="N39" s="32"/>
      <c r="O39" s="32"/>
      <c r="P39" s="64"/>
      <c r="Q39" s="165" t="s">
        <v>475</v>
      </c>
      <c r="R39" s="62"/>
      <c r="S39" s="32"/>
      <c r="T39" s="62"/>
      <c r="U39" s="62"/>
      <c r="V39" s="62"/>
      <c r="W39" s="62"/>
      <c r="X39" s="165" t="s">
        <v>475</v>
      </c>
      <c r="Y39" s="62"/>
      <c r="Z39" s="62"/>
      <c r="AA39" s="62"/>
      <c r="AB39" s="63"/>
      <c r="AC39" s="63"/>
      <c r="AD39" s="63"/>
      <c r="AE39" s="165" t="s">
        <v>475</v>
      </c>
      <c r="AF39" s="64"/>
      <c r="AG39" s="62"/>
      <c r="AH39" s="63"/>
      <c r="AI39" s="63"/>
      <c r="AJ39" s="63"/>
      <c r="AK39" s="63"/>
      <c r="AL39" s="165" t="s">
        <v>475</v>
      </c>
      <c r="AM39" s="63"/>
      <c r="AN39" s="63"/>
      <c r="AO39" s="62"/>
      <c r="AP39" s="62"/>
      <c r="AQ39" s="63"/>
      <c r="AR39" s="63"/>
      <c r="AS39" s="165" t="s">
        <v>475</v>
      </c>
      <c r="AT39" s="58"/>
      <c r="AU39" s="64"/>
      <c r="AV39" s="62"/>
      <c r="AW39" s="63"/>
      <c r="AX39" s="63"/>
      <c r="AY39" s="165" t="s">
        <v>475</v>
      </c>
      <c r="AZ39" s="64"/>
      <c r="BA39" s="63"/>
      <c r="BB39" s="63"/>
      <c r="BC39" s="63"/>
      <c r="BD39" s="63"/>
      <c r="BE39" s="165" t="s">
        <v>475</v>
      </c>
      <c r="BF39" s="63"/>
      <c r="BG39" s="64"/>
      <c r="BH39" s="1"/>
      <c r="BI39" s="45"/>
      <c r="BJ39" s="63"/>
      <c r="BK39" s="165" t="s">
        <v>475</v>
      </c>
      <c r="BL39" s="64"/>
      <c r="BM39" s="63"/>
      <c r="BN39" s="64"/>
      <c r="BO39" s="64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</row>
    <row r="40" spans="1:187" s="120" customFormat="1" ht="12.75">
      <c r="A40" s="165"/>
      <c r="B40" s="231"/>
      <c r="C40" s="165" t="s">
        <v>476</v>
      </c>
      <c r="D40" s="63"/>
      <c r="E40" s="63"/>
      <c r="F40" s="63"/>
      <c r="G40" s="64"/>
      <c r="H40" s="62"/>
      <c r="I40" s="62"/>
      <c r="J40" s="165" t="s">
        <v>476</v>
      </c>
      <c r="K40" s="62"/>
      <c r="L40" s="62"/>
      <c r="M40" s="62"/>
      <c r="N40" s="32"/>
      <c r="O40" s="32"/>
      <c r="P40" s="64"/>
      <c r="Q40" s="165" t="s">
        <v>476</v>
      </c>
      <c r="R40" s="62"/>
      <c r="S40" s="32"/>
      <c r="T40" s="62"/>
      <c r="U40" s="62"/>
      <c r="V40" s="62"/>
      <c r="W40" s="62"/>
      <c r="X40" s="165" t="s">
        <v>476</v>
      </c>
      <c r="Y40" s="62"/>
      <c r="Z40" s="62"/>
      <c r="AA40" s="62"/>
      <c r="AB40" s="63"/>
      <c r="AC40" s="63"/>
      <c r="AD40" s="63"/>
      <c r="AE40" s="165" t="s">
        <v>476</v>
      </c>
      <c r="AF40" s="64"/>
      <c r="AG40" s="62"/>
      <c r="AH40" s="63"/>
      <c r="AI40" s="63"/>
      <c r="AJ40" s="63"/>
      <c r="AK40" s="63"/>
      <c r="AL40" s="165" t="s">
        <v>476</v>
      </c>
      <c r="AM40" s="63"/>
      <c r="AN40" s="63"/>
      <c r="AO40" s="62"/>
      <c r="AP40" s="62"/>
      <c r="AQ40" s="63"/>
      <c r="AR40" s="63"/>
      <c r="AS40" s="165" t="s">
        <v>476</v>
      </c>
      <c r="AT40" s="58"/>
      <c r="AU40" s="64"/>
      <c r="AV40" s="62"/>
      <c r="AW40" s="63"/>
      <c r="AX40" s="63"/>
      <c r="AY40" s="165" t="s">
        <v>476</v>
      </c>
      <c r="AZ40" s="64"/>
      <c r="BA40" s="63"/>
      <c r="BB40" s="63"/>
      <c r="BC40" s="63"/>
      <c r="BD40" s="63"/>
      <c r="BE40" s="165" t="s">
        <v>476</v>
      </c>
      <c r="BF40" s="63"/>
      <c r="BG40" s="64"/>
      <c r="BH40" s="1"/>
      <c r="BI40" s="45"/>
      <c r="BJ40" s="63"/>
      <c r="BK40" s="165" t="s">
        <v>476</v>
      </c>
      <c r="BL40" s="64"/>
      <c r="BM40" s="63"/>
      <c r="BN40" s="64"/>
      <c r="BO40" s="64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</row>
    <row r="41" spans="1:187" s="120" customFormat="1" ht="12.75">
      <c r="A41" s="165"/>
      <c r="B41" s="231"/>
      <c r="C41" s="165" t="s">
        <v>477</v>
      </c>
      <c r="D41" s="63"/>
      <c r="E41" s="63"/>
      <c r="F41" s="63"/>
      <c r="G41" s="64"/>
      <c r="H41" s="62"/>
      <c r="I41" s="62"/>
      <c r="J41" s="165" t="s">
        <v>477</v>
      </c>
      <c r="K41" s="62"/>
      <c r="L41" s="62"/>
      <c r="M41" s="62"/>
      <c r="N41" s="32"/>
      <c r="O41" s="32"/>
      <c r="P41" s="64"/>
      <c r="Q41" s="165" t="s">
        <v>477</v>
      </c>
      <c r="R41" s="62"/>
      <c r="S41" s="32"/>
      <c r="T41" s="62"/>
      <c r="U41" s="62"/>
      <c r="V41" s="62"/>
      <c r="W41" s="62"/>
      <c r="X41" s="165" t="s">
        <v>477</v>
      </c>
      <c r="Y41" s="62"/>
      <c r="Z41" s="62"/>
      <c r="AA41" s="62"/>
      <c r="AB41" s="63"/>
      <c r="AC41" s="63"/>
      <c r="AD41" s="63"/>
      <c r="AE41" s="165" t="s">
        <v>477</v>
      </c>
      <c r="AF41" s="64"/>
      <c r="AG41" s="62"/>
      <c r="AH41" s="63"/>
      <c r="AI41" s="63"/>
      <c r="AJ41" s="63"/>
      <c r="AK41" s="63"/>
      <c r="AL41" s="165" t="s">
        <v>477</v>
      </c>
      <c r="AM41" s="63"/>
      <c r="AN41" s="63"/>
      <c r="AO41" s="62"/>
      <c r="AP41" s="62"/>
      <c r="AQ41" s="63"/>
      <c r="AR41" s="63"/>
      <c r="AS41" s="165" t="s">
        <v>477</v>
      </c>
      <c r="AT41" s="58"/>
      <c r="AU41" s="64"/>
      <c r="AV41" s="62"/>
      <c r="AW41" s="63"/>
      <c r="AX41" s="63"/>
      <c r="AY41" s="165" t="s">
        <v>477</v>
      </c>
      <c r="AZ41" s="64"/>
      <c r="BA41" s="63"/>
      <c r="BB41" s="63"/>
      <c r="BC41" s="63"/>
      <c r="BD41" s="63"/>
      <c r="BE41" s="165" t="s">
        <v>477</v>
      </c>
      <c r="BF41" s="63"/>
      <c r="BG41" s="64"/>
      <c r="BH41" s="1"/>
      <c r="BI41" s="45"/>
      <c r="BJ41" s="63"/>
      <c r="BK41" s="165" t="s">
        <v>477</v>
      </c>
      <c r="BL41" s="64"/>
      <c r="BM41" s="63"/>
      <c r="BN41" s="64"/>
      <c r="BO41" s="64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</row>
    <row r="42" spans="1:187" s="120" customFormat="1" ht="12.75">
      <c r="A42" s="165"/>
      <c r="B42" s="231"/>
      <c r="C42" s="165" t="s">
        <v>483</v>
      </c>
      <c r="D42" s="63"/>
      <c r="E42" s="63"/>
      <c r="F42" s="63"/>
      <c r="G42" s="64"/>
      <c r="H42" s="62"/>
      <c r="I42" s="62"/>
      <c r="J42" s="165" t="s">
        <v>483</v>
      </c>
      <c r="K42" s="62"/>
      <c r="L42" s="62"/>
      <c r="M42" s="62"/>
      <c r="N42" s="32"/>
      <c r="O42" s="32"/>
      <c r="P42" s="64"/>
      <c r="Q42" s="165" t="s">
        <v>483</v>
      </c>
      <c r="R42" s="62"/>
      <c r="S42" s="32"/>
      <c r="T42" s="62"/>
      <c r="U42" s="62"/>
      <c r="V42" s="62"/>
      <c r="W42" s="62"/>
      <c r="X42" s="165" t="s">
        <v>483</v>
      </c>
      <c r="Y42" s="62"/>
      <c r="Z42" s="62"/>
      <c r="AA42" s="62"/>
      <c r="AB42" s="63"/>
      <c r="AC42" s="63"/>
      <c r="AD42" s="63"/>
      <c r="AE42" s="165" t="s">
        <v>483</v>
      </c>
      <c r="AF42" s="64"/>
      <c r="AG42" s="62"/>
      <c r="AH42" s="63"/>
      <c r="AI42" s="63"/>
      <c r="AJ42" s="63"/>
      <c r="AK42" s="63"/>
      <c r="AL42" s="165" t="s">
        <v>483</v>
      </c>
      <c r="AM42" s="63"/>
      <c r="AN42" s="63"/>
      <c r="AO42" s="62"/>
      <c r="AP42" s="62"/>
      <c r="AQ42" s="63"/>
      <c r="AR42" s="63"/>
      <c r="AS42" s="165" t="s">
        <v>483</v>
      </c>
      <c r="AT42" s="58"/>
      <c r="AU42" s="64"/>
      <c r="AV42" s="62"/>
      <c r="AW42" s="63"/>
      <c r="AX42" s="63"/>
      <c r="AY42" s="165" t="s">
        <v>483</v>
      </c>
      <c r="AZ42" s="64"/>
      <c r="BA42" s="63"/>
      <c r="BB42" s="63"/>
      <c r="BC42" s="63"/>
      <c r="BD42" s="63"/>
      <c r="BE42" s="165" t="s">
        <v>483</v>
      </c>
      <c r="BF42" s="63"/>
      <c r="BG42" s="64"/>
      <c r="BH42" s="1"/>
      <c r="BI42" s="45"/>
      <c r="BJ42" s="63"/>
      <c r="BK42" s="165" t="s">
        <v>483</v>
      </c>
      <c r="BL42" s="64"/>
      <c r="BM42" s="63"/>
      <c r="BN42" s="64"/>
      <c r="BO42" s="64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</row>
    <row r="43" spans="1:187" s="120" customFormat="1" ht="12.75">
      <c r="A43" s="165"/>
      <c r="B43" s="231"/>
      <c r="C43" s="165" t="s">
        <v>484</v>
      </c>
      <c r="D43" s="63"/>
      <c r="E43" s="63"/>
      <c r="F43" s="63"/>
      <c r="G43" s="64"/>
      <c r="H43" s="62"/>
      <c r="I43" s="62"/>
      <c r="J43" s="165" t="s">
        <v>484</v>
      </c>
      <c r="K43" s="62"/>
      <c r="L43" s="62"/>
      <c r="M43" s="62"/>
      <c r="N43" s="32"/>
      <c r="O43" s="32"/>
      <c r="P43" s="64"/>
      <c r="Q43" s="165" t="s">
        <v>484</v>
      </c>
      <c r="R43" s="62"/>
      <c r="S43" s="32"/>
      <c r="T43" s="62"/>
      <c r="U43" s="62"/>
      <c r="V43" s="62"/>
      <c r="W43" s="62"/>
      <c r="X43" s="165" t="s">
        <v>484</v>
      </c>
      <c r="Y43" s="62"/>
      <c r="Z43" s="62"/>
      <c r="AA43" s="62"/>
      <c r="AB43" s="63"/>
      <c r="AC43" s="63"/>
      <c r="AD43" s="63"/>
      <c r="AE43" s="165" t="s">
        <v>484</v>
      </c>
      <c r="AF43" s="64"/>
      <c r="AG43" s="62"/>
      <c r="AH43" s="63"/>
      <c r="AI43" s="63"/>
      <c r="AJ43" s="63"/>
      <c r="AK43" s="63"/>
      <c r="AL43" s="165" t="s">
        <v>484</v>
      </c>
      <c r="AM43" s="63"/>
      <c r="AN43" s="63"/>
      <c r="AO43" s="62"/>
      <c r="AP43" s="62"/>
      <c r="AQ43" s="63"/>
      <c r="AR43" s="63"/>
      <c r="AS43" s="165" t="s">
        <v>484</v>
      </c>
      <c r="AT43" s="58"/>
      <c r="AU43" s="64"/>
      <c r="AV43" s="62"/>
      <c r="AW43" s="63"/>
      <c r="AX43" s="63"/>
      <c r="AY43" s="165" t="s">
        <v>484</v>
      </c>
      <c r="AZ43" s="64"/>
      <c r="BA43" s="63"/>
      <c r="BB43" s="63"/>
      <c r="BC43" s="63"/>
      <c r="BD43" s="63"/>
      <c r="BE43" s="165" t="s">
        <v>484</v>
      </c>
      <c r="BF43" s="63"/>
      <c r="BG43" s="64"/>
      <c r="BH43" s="1"/>
      <c r="BI43" s="45"/>
      <c r="BJ43" s="63"/>
      <c r="BK43" s="165" t="s">
        <v>484</v>
      </c>
      <c r="BL43" s="64"/>
      <c r="BM43" s="63"/>
      <c r="BN43" s="64"/>
      <c r="BO43" s="64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</row>
    <row r="44" spans="1:187" s="120" customFormat="1" ht="12.75">
      <c r="A44" s="165"/>
      <c r="B44" s="231"/>
      <c r="C44" s="220" t="s">
        <v>478</v>
      </c>
      <c r="D44" s="63"/>
      <c r="E44" s="63"/>
      <c r="F44" s="63"/>
      <c r="G44" s="32"/>
      <c r="H44" s="62"/>
      <c r="I44" s="62"/>
      <c r="J44" s="220" t="s">
        <v>478</v>
      </c>
      <c r="K44" s="62"/>
      <c r="L44" s="62"/>
      <c r="M44" s="62"/>
      <c r="N44" s="32"/>
      <c r="O44" s="32"/>
      <c r="P44" s="32"/>
      <c r="Q44" s="220" t="s">
        <v>478</v>
      </c>
      <c r="R44" s="62"/>
      <c r="S44" s="32"/>
      <c r="T44" s="62"/>
      <c r="U44" s="62"/>
      <c r="V44" s="62"/>
      <c r="W44" s="62"/>
      <c r="X44" s="220" t="s">
        <v>478</v>
      </c>
      <c r="Y44" s="62"/>
      <c r="Z44" s="62"/>
      <c r="AA44" s="62"/>
      <c r="AB44" s="63"/>
      <c r="AC44" s="63"/>
      <c r="AD44" s="63"/>
      <c r="AE44" s="220" t="s">
        <v>478</v>
      </c>
      <c r="AF44" s="32"/>
      <c r="AG44" s="62"/>
      <c r="AH44" s="63"/>
      <c r="AI44" s="63"/>
      <c r="AJ44" s="63"/>
      <c r="AK44" s="63"/>
      <c r="AL44" s="220" t="s">
        <v>478</v>
      </c>
      <c r="AM44" s="63"/>
      <c r="AN44" s="63"/>
      <c r="AO44" s="62"/>
      <c r="AP44" s="62"/>
      <c r="AQ44" s="63"/>
      <c r="AR44" s="63"/>
      <c r="AS44" s="220" t="s">
        <v>478</v>
      </c>
      <c r="AT44" s="58"/>
      <c r="AU44" s="32"/>
      <c r="AV44" s="62"/>
      <c r="AW44" s="63"/>
      <c r="AX44" s="63"/>
      <c r="AY44" s="220" t="s">
        <v>478</v>
      </c>
      <c r="AZ44" s="32"/>
      <c r="BA44" s="63"/>
      <c r="BB44" s="63"/>
      <c r="BC44" s="63"/>
      <c r="BD44" s="63"/>
      <c r="BE44" s="220" t="s">
        <v>478</v>
      </c>
      <c r="BF44" s="63"/>
      <c r="BG44" s="32"/>
      <c r="BH44" s="1"/>
      <c r="BI44" s="45"/>
      <c r="BJ44" s="63"/>
      <c r="BK44" s="220" t="s">
        <v>478</v>
      </c>
      <c r="BL44" s="32"/>
      <c r="BM44" s="63"/>
      <c r="BN44" s="64"/>
      <c r="BO44" s="64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</row>
    <row r="45" spans="1:187" s="120" customFormat="1" ht="12.75">
      <c r="A45" s="220"/>
      <c r="B45" s="231"/>
      <c r="C45" s="165" t="s">
        <v>479</v>
      </c>
      <c r="D45" s="63"/>
      <c r="E45" s="63"/>
      <c r="F45" s="63"/>
      <c r="G45" s="32"/>
      <c r="H45" s="62"/>
      <c r="I45" s="62"/>
      <c r="J45" s="165" t="s">
        <v>479</v>
      </c>
      <c r="K45" s="62"/>
      <c r="L45" s="62"/>
      <c r="M45" s="62"/>
      <c r="N45" s="32"/>
      <c r="O45" s="32"/>
      <c r="P45" s="32"/>
      <c r="Q45" s="165" t="s">
        <v>479</v>
      </c>
      <c r="R45" s="62"/>
      <c r="S45" s="32"/>
      <c r="T45" s="62"/>
      <c r="U45" s="62"/>
      <c r="V45" s="62"/>
      <c r="W45" s="62"/>
      <c r="X45" s="165" t="s">
        <v>479</v>
      </c>
      <c r="Y45" s="62"/>
      <c r="Z45" s="62"/>
      <c r="AA45" s="62"/>
      <c r="AB45" s="63"/>
      <c r="AC45" s="63"/>
      <c r="AD45" s="63"/>
      <c r="AE45" s="165" t="s">
        <v>479</v>
      </c>
      <c r="AF45" s="32"/>
      <c r="AG45" s="62"/>
      <c r="AH45" s="63"/>
      <c r="AI45" s="63"/>
      <c r="AJ45" s="63"/>
      <c r="AK45" s="63"/>
      <c r="AL45" s="165" t="s">
        <v>479</v>
      </c>
      <c r="AM45" s="63"/>
      <c r="AN45" s="63"/>
      <c r="AO45" s="62"/>
      <c r="AP45" s="62"/>
      <c r="AQ45" s="63"/>
      <c r="AR45" s="63"/>
      <c r="AS45" s="165" t="s">
        <v>479</v>
      </c>
      <c r="AT45" s="58"/>
      <c r="AU45" s="32"/>
      <c r="AV45" s="62"/>
      <c r="AW45" s="63"/>
      <c r="AX45" s="63"/>
      <c r="AY45" s="165" t="s">
        <v>479</v>
      </c>
      <c r="AZ45" s="32"/>
      <c r="BA45" s="63"/>
      <c r="BB45" s="63"/>
      <c r="BC45" s="63"/>
      <c r="BD45" s="63"/>
      <c r="BE45" s="165" t="s">
        <v>479</v>
      </c>
      <c r="BF45" s="63"/>
      <c r="BG45" s="32"/>
      <c r="BH45" s="1"/>
      <c r="BI45" s="45"/>
      <c r="BJ45" s="63"/>
      <c r="BK45" s="165" t="s">
        <v>479</v>
      </c>
      <c r="BL45" s="32"/>
      <c r="BM45" s="63"/>
      <c r="BN45" s="64"/>
      <c r="BO45" s="64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</row>
    <row r="46" spans="1:187" s="120" customFormat="1" ht="12.75">
      <c r="A46" s="165"/>
      <c r="B46" s="231"/>
      <c r="C46" s="220" t="s">
        <v>485</v>
      </c>
      <c r="D46" s="63"/>
      <c r="E46" s="63"/>
      <c r="F46" s="63"/>
      <c r="G46" s="64"/>
      <c r="H46" s="62"/>
      <c r="I46" s="62"/>
      <c r="J46" s="220" t="s">
        <v>485</v>
      </c>
      <c r="K46" s="62"/>
      <c r="L46" s="62"/>
      <c r="M46" s="62"/>
      <c r="N46" s="32"/>
      <c r="O46" s="32"/>
      <c r="P46" s="64"/>
      <c r="Q46" s="220" t="s">
        <v>485</v>
      </c>
      <c r="R46" s="62"/>
      <c r="S46" s="32"/>
      <c r="T46" s="62"/>
      <c r="U46" s="62"/>
      <c r="V46" s="62"/>
      <c r="W46" s="62"/>
      <c r="X46" s="220" t="s">
        <v>485</v>
      </c>
      <c r="Y46" s="62"/>
      <c r="Z46" s="62"/>
      <c r="AA46" s="62"/>
      <c r="AB46" s="63"/>
      <c r="AC46" s="63"/>
      <c r="AD46" s="63"/>
      <c r="AE46" s="220" t="s">
        <v>485</v>
      </c>
      <c r="AF46" s="64"/>
      <c r="AG46" s="62"/>
      <c r="AH46" s="63"/>
      <c r="AI46" s="63"/>
      <c r="AJ46" s="63"/>
      <c r="AK46" s="63"/>
      <c r="AL46" s="220" t="s">
        <v>485</v>
      </c>
      <c r="AM46" s="63"/>
      <c r="AN46" s="63"/>
      <c r="AO46" s="62"/>
      <c r="AP46" s="62"/>
      <c r="AQ46" s="63"/>
      <c r="AR46" s="63"/>
      <c r="AS46" s="220" t="s">
        <v>485</v>
      </c>
      <c r="AT46" s="58"/>
      <c r="AU46" s="64"/>
      <c r="AV46" s="62"/>
      <c r="AW46" s="63"/>
      <c r="AX46" s="63"/>
      <c r="AY46" s="220" t="s">
        <v>485</v>
      </c>
      <c r="AZ46" s="64"/>
      <c r="BA46" s="63"/>
      <c r="BB46" s="63"/>
      <c r="BC46" s="63"/>
      <c r="BD46" s="63"/>
      <c r="BE46" s="220" t="s">
        <v>485</v>
      </c>
      <c r="BF46" s="63"/>
      <c r="BG46" s="64"/>
      <c r="BH46" s="1"/>
      <c r="BI46" s="45"/>
      <c r="BJ46" s="63"/>
      <c r="BK46" s="220" t="s">
        <v>485</v>
      </c>
      <c r="BL46" s="64"/>
      <c r="BM46" s="63"/>
      <c r="BN46" s="64"/>
      <c r="BO46" s="64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</row>
    <row r="47" spans="1:187" s="120" customFormat="1" ht="12.75">
      <c r="A47" s="220"/>
      <c r="B47" s="231"/>
      <c r="C47" s="165" t="s">
        <v>480</v>
      </c>
      <c r="D47" s="63"/>
      <c r="E47" s="63"/>
      <c r="F47" s="63"/>
      <c r="G47" s="64"/>
      <c r="H47" s="62"/>
      <c r="I47" s="62"/>
      <c r="J47" s="165" t="s">
        <v>480</v>
      </c>
      <c r="K47" s="62"/>
      <c r="L47" s="62"/>
      <c r="M47" s="62"/>
      <c r="N47" s="32"/>
      <c r="O47" s="32"/>
      <c r="P47" s="64"/>
      <c r="Q47" s="165" t="s">
        <v>480</v>
      </c>
      <c r="R47" s="62"/>
      <c r="S47" s="32"/>
      <c r="T47" s="62"/>
      <c r="U47" s="62"/>
      <c r="V47" s="62"/>
      <c r="W47" s="62"/>
      <c r="X47" s="165" t="s">
        <v>480</v>
      </c>
      <c r="Y47" s="62"/>
      <c r="Z47" s="62"/>
      <c r="AA47" s="62"/>
      <c r="AB47" s="63"/>
      <c r="AC47" s="63"/>
      <c r="AD47" s="63"/>
      <c r="AE47" s="165" t="s">
        <v>480</v>
      </c>
      <c r="AF47" s="64"/>
      <c r="AG47" s="62"/>
      <c r="AH47" s="63"/>
      <c r="AI47" s="63"/>
      <c r="AJ47" s="63"/>
      <c r="AK47" s="63"/>
      <c r="AL47" s="165" t="s">
        <v>480</v>
      </c>
      <c r="AM47" s="63"/>
      <c r="AN47" s="63"/>
      <c r="AO47" s="62"/>
      <c r="AP47" s="62"/>
      <c r="AQ47" s="63"/>
      <c r="AR47" s="63"/>
      <c r="AS47" s="165" t="s">
        <v>480</v>
      </c>
      <c r="AT47" s="58"/>
      <c r="AU47" s="64"/>
      <c r="AV47" s="62"/>
      <c r="AW47" s="63"/>
      <c r="AX47" s="63"/>
      <c r="AY47" s="165" t="s">
        <v>480</v>
      </c>
      <c r="AZ47" s="64"/>
      <c r="BA47" s="63"/>
      <c r="BB47" s="63"/>
      <c r="BC47" s="63"/>
      <c r="BD47" s="63"/>
      <c r="BE47" s="165" t="s">
        <v>480</v>
      </c>
      <c r="BF47" s="63"/>
      <c r="BG47" s="64"/>
      <c r="BH47" s="1"/>
      <c r="BI47" s="45"/>
      <c r="BJ47" s="63"/>
      <c r="BK47" s="165" t="s">
        <v>480</v>
      </c>
      <c r="BL47" s="64"/>
      <c r="BM47" s="63"/>
      <c r="BN47" s="64"/>
      <c r="BO47" s="64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</row>
    <row r="48" spans="1:187" s="120" customFormat="1" ht="12.75">
      <c r="A48" s="165"/>
      <c r="B48" s="231"/>
      <c r="C48" s="165" t="s">
        <v>486</v>
      </c>
      <c r="D48" s="63"/>
      <c r="E48" s="63"/>
      <c r="F48" s="63"/>
      <c r="G48" s="64"/>
      <c r="H48" s="62"/>
      <c r="I48" s="62"/>
      <c r="J48" s="165" t="s">
        <v>486</v>
      </c>
      <c r="K48" s="62"/>
      <c r="L48" s="62"/>
      <c r="M48" s="62"/>
      <c r="N48" s="32"/>
      <c r="O48" s="32"/>
      <c r="P48" s="64"/>
      <c r="Q48" s="165" t="s">
        <v>486</v>
      </c>
      <c r="R48" s="62"/>
      <c r="S48" s="32"/>
      <c r="T48" s="62"/>
      <c r="U48" s="62"/>
      <c r="V48" s="62"/>
      <c r="W48" s="62"/>
      <c r="X48" s="165" t="s">
        <v>486</v>
      </c>
      <c r="Y48" s="62"/>
      <c r="Z48" s="62"/>
      <c r="AA48" s="62"/>
      <c r="AB48" s="63"/>
      <c r="AC48" s="63"/>
      <c r="AD48" s="63"/>
      <c r="AE48" s="165" t="s">
        <v>486</v>
      </c>
      <c r="AF48" s="64"/>
      <c r="AG48" s="62"/>
      <c r="AH48" s="63"/>
      <c r="AI48" s="63"/>
      <c r="AJ48" s="63"/>
      <c r="AK48" s="63"/>
      <c r="AL48" s="165" t="s">
        <v>486</v>
      </c>
      <c r="AM48" s="63"/>
      <c r="AN48" s="63"/>
      <c r="AO48" s="62"/>
      <c r="AP48" s="62"/>
      <c r="AQ48" s="63"/>
      <c r="AR48" s="63"/>
      <c r="AS48" s="165" t="s">
        <v>486</v>
      </c>
      <c r="AT48" s="58"/>
      <c r="AU48" s="64"/>
      <c r="AV48" s="62"/>
      <c r="AW48" s="63"/>
      <c r="AX48" s="63"/>
      <c r="AY48" s="165" t="s">
        <v>486</v>
      </c>
      <c r="AZ48" s="64"/>
      <c r="BA48" s="63"/>
      <c r="BB48" s="63"/>
      <c r="BC48" s="63"/>
      <c r="BD48" s="63"/>
      <c r="BE48" s="165" t="s">
        <v>486</v>
      </c>
      <c r="BF48" s="63"/>
      <c r="BG48" s="64"/>
      <c r="BH48" s="1"/>
      <c r="BI48" s="45"/>
      <c r="BJ48" s="63"/>
      <c r="BK48" s="165" t="s">
        <v>486</v>
      </c>
      <c r="BL48" s="64"/>
      <c r="BM48" s="63"/>
      <c r="BN48" s="64"/>
      <c r="BO48" s="64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</row>
    <row r="49" spans="1:187" s="120" customFormat="1" ht="12.75">
      <c r="A49" s="165"/>
      <c r="B49" s="204"/>
      <c r="C49" s="165" t="s">
        <v>481</v>
      </c>
      <c r="D49" s="63"/>
      <c r="E49" s="63"/>
      <c r="F49" s="63"/>
      <c r="G49" s="64"/>
      <c r="H49" s="62"/>
      <c r="I49" s="62"/>
      <c r="J49" s="165" t="s">
        <v>481</v>
      </c>
      <c r="K49" s="62"/>
      <c r="L49" s="62"/>
      <c r="M49" s="62"/>
      <c r="N49" s="32"/>
      <c r="O49" s="32"/>
      <c r="P49" s="64"/>
      <c r="Q49" s="165" t="s">
        <v>481</v>
      </c>
      <c r="R49" s="62"/>
      <c r="S49" s="32"/>
      <c r="T49" s="62"/>
      <c r="U49" s="62"/>
      <c r="V49" s="62"/>
      <c r="W49" s="62"/>
      <c r="X49" s="165" t="s">
        <v>481</v>
      </c>
      <c r="Y49" s="62"/>
      <c r="Z49" s="62"/>
      <c r="AA49" s="62"/>
      <c r="AB49" s="63"/>
      <c r="AC49" s="63"/>
      <c r="AD49" s="63"/>
      <c r="AE49" s="165" t="s">
        <v>481</v>
      </c>
      <c r="AF49" s="64"/>
      <c r="AG49" s="62"/>
      <c r="AH49" s="63"/>
      <c r="AI49" s="63"/>
      <c r="AJ49" s="63"/>
      <c r="AK49" s="63"/>
      <c r="AL49" s="165" t="s">
        <v>481</v>
      </c>
      <c r="AM49" s="63"/>
      <c r="AN49" s="63"/>
      <c r="AO49" s="62"/>
      <c r="AP49" s="62"/>
      <c r="AQ49" s="63"/>
      <c r="AR49" s="63"/>
      <c r="AS49" s="165" t="s">
        <v>481</v>
      </c>
      <c r="AT49" s="58"/>
      <c r="AU49" s="64"/>
      <c r="AV49" s="62"/>
      <c r="AW49" s="63"/>
      <c r="AX49" s="63"/>
      <c r="AY49" s="165" t="s">
        <v>481</v>
      </c>
      <c r="AZ49" s="64"/>
      <c r="BA49" s="63"/>
      <c r="BB49" s="63"/>
      <c r="BC49" s="63"/>
      <c r="BD49" s="63"/>
      <c r="BE49" s="165" t="s">
        <v>481</v>
      </c>
      <c r="BF49" s="63"/>
      <c r="BG49" s="64"/>
      <c r="BH49" s="1"/>
      <c r="BI49" s="45"/>
      <c r="BJ49" s="63"/>
      <c r="BK49" s="165" t="s">
        <v>481</v>
      </c>
      <c r="BL49" s="64"/>
      <c r="BM49" s="63"/>
      <c r="BN49" s="64"/>
      <c r="BO49" s="64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</row>
    <row r="50" spans="1:187" s="120" customFormat="1" ht="12.75">
      <c r="A50" s="165"/>
      <c r="B50" s="204"/>
      <c r="C50" s="165"/>
      <c r="D50" s="63"/>
      <c r="E50" s="63"/>
      <c r="F50" s="63"/>
      <c r="G50" s="64"/>
      <c r="H50" s="62"/>
      <c r="I50" s="62"/>
      <c r="J50" s="165"/>
      <c r="K50" s="62"/>
      <c r="L50" s="62"/>
      <c r="M50" s="62"/>
      <c r="N50" s="32"/>
      <c r="O50" s="32"/>
      <c r="P50" s="64"/>
      <c r="Q50" s="165"/>
      <c r="R50" s="62"/>
      <c r="S50" s="32"/>
      <c r="T50" s="62"/>
      <c r="U50" s="62"/>
      <c r="V50" s="62"/>
      <c r="W50" s="62"/>
      <c r="X50" s="165"/>
      <c r="Y50" s="62"/>
      <c r="Z50" s="62"/>
      <c r="AA50" s="62"/>
      <c r="AB50" s="63"/>
      <c r="AC50" s="63"/>
      <c r="AD50" s="63"/>
      <c r="AE50" s="165"/>
      <c r="AF50" s="64"/>
      <c r="AG50" s="62"/>
      <c r="AH50" s="63"/>
      <c r="AI50" s="63"/>
      <c r="AJ50" s="63"/>
      <c r="AK50" s="63"/>
      <c r="AL50" s="165"/>
      <c r="AM50" s="63"/>
      <c r="AN50" s="63"/>
      <c r="AO50" s="62"/>
      <c r="AP50" s="62"/>
      <c r="AQ50" s="63"/>
      <c r="AR50" s="63"/>
      <c r="AS50" s="165"/>
      <c r="AT50" s="58"/>
      <c r="AU50" s="64"/>
      <c r="AV50" s="62"/>
      <c r="AW50" s="63"/>
      <c r="AX50" s="63"/>
      <c r="AY50" s="165"/>
      <c r="AZ50" s="64"/>
      <c r="BA50" s="63"/>
      <c r="BB50" s="63"/>
      <c r="BC50" s="63"/>
      <c r="BD50" s="63"/>
      <c r="BE50" s="165"/>
      <c r="BF50" s="63"/>
      <c r="BG50" s="64"/>
      <c r="BH50" s="1"/>
      <c r="BI50" s="45"/>
      <c r="BJ50" s="63"/>
      <c r="BK50" s="165"/>
      <c r="BL50" s="64"/>
      <c r="BM50" s="63"/>
      <c r="BN50" s="64"/>
      <c r="BO50" s="64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</row>
    <row r="51" spans="1:187" s="120" customFormat="1" ht="12.75">
      <c r="A51" s="165"/>
      <c r="B51" s="204"/>
      <c r="C51" s="165"/>
      <c r="D51" s="63"/>
      <c r="E51" s="63"/>
      <c r="F51" s="63"/>
      <c r="G51" s="64"/>
      <c r="H51" s="62"/>
      <c r="I51" s="62"/>
      <c r="J51" s="165"/>
      <c r="K51" s="62"/>
      <c r="L51" s="62"/>
      <c r="M51" s="62"/>
      <c r="N51" s="32"/>
      <c r="O51" s="32"/>
      <c r="P51" s="64"/>
      <c r="Q51" s="165"/>
      <c r="R51" s="62"/>
      <c r="S51" s="32"/>
      <c r="T51" s="62"/>
      <c r="U51" s="62"/>
      <c r="V51" s="62"/>
      <c r="W51" s="62"/>
      <c r="X51" s="165"/>
      <c r="Y51" s="62"/>
      <c r="Z51" s="62"/>
      <c r="AA51" s="62"/>
      <c r="AB51" s="63"/>
      <c r="AC51" s="63"/>
      <c r="AD51" s="63"/>
      <c r="AE51" s="165"/>
      <c r="AF51" s="64"/>
      <c r="AG51" s="62"/>
      <c r="AH51" s="63"/>
      <c r="AI51" s="63"/>
      <c r="AJ51" s="63"/>
      <c r="AK51" s="63"/>
      <c r="AL51" s="165"/>
      <c r="AM51" s="63"/>
      <c r="AN51" s="63"/>
      <c r="AO51" s="62"/>
      <c r="AP51" s="62"/>
      <c r="AQ51" s="63"/>
      <c r="AR51" s="63"/>
      <c r="AS51" s="165"/>
      <c r="AT51" s="58"/>
      <c r="AU51" s="64"/>
      <c r="AV51" s="62"/>
      <c r="AW51" s="63"/>
      <c r="AX51" s="63"/>
      <c r="AY51" s="165"/>
      <c r="AZ51" s="64"/>
      <c r="BA51" s="63"/>
      <c r="BB51" s="63"/>
      <c r="BC51" s="63"/>
      <c r="BD51" s="63"/>
      <c r="BE51" s="165"/>
      <c r="BF51" s="63"/>
      <c r="BG51" s="64"/>
      <c r="BH51" s="1"/>
      <c r="BI51" s="45"/>
      <c r="BJ51" s="63"/>
      <c r="BK51" s="165"/>
      <c r="BL51" s="64"/>
      <c r="BM51" s="63"/>
      <c r="BN51" s="64"/>
      <c r="BO51" s="64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</row>
    <row r="52" spans="1:187" s="120" customFormat="1" ht="12.75">
      <c r="A52" s="165"/>
      <c r="B52" s="229"/>
      <c r="C52" s="63"/>
      <c r="D52" s="63"/>
      <c r="E52" s="63"/>
      <c r="F52" s="63"/>
      <c r="G52" s="63"/>
      <c r="H52" s="63"/>
      <c r="I52" s="62"/>
      <c r="J52" s="62"/>
      <c r="K52" s="62"/>
      <c r="L52" s="62"/>
      <c r="M52" s="62"/>
      <c r="N52" s="62"/>
      <c r="O52" s="62"/>
      <c r="P52" s="63"/>
      <c r="Q52" s="62"/>
      <c r="R52" s="62"/>
      <c r="S52" s="62"/>
      <c r="T52" s="63"/>
      <c r="U52" s="63"/>
      <c r="V52" s="63"/>
      <c r="W52" s="63"/>
      <c r="X52" s="63"/>
      <c r="Y52" s="62"/>
      <c r="Z52" s="63"/>
      <c r="AA52" s="63"/>
      <c r="AB52" s="63"/>
      <c r="AC52" s="63"/>
      <c r="AD52" s="63"/>
      <c r="AE52" s="62"/>
      <c r="AF52" s="62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2"/>
      <c r="AU52" s="63"/>
      <c r="AV52" s="63"/>
      <c r="AW52" s="63"/>
      <c r="AX52" s="63"/>
      <c r="AY52" s="62"/>
      <c r="BA52" s="63"/>
      <c r="BB52" s="63"/>
      <c r="BC52" s="63"/>
      <c r="BD52" s="63"/>
      <c r="BE52" s="63"/>
      <c r="BF52" s="63"/>
      <c r="BG52" s="63"/>
      <c r="BH52" s="1"/>
      <c r="BI52" s="45"/>
      <c r="BJ52" s="63"/>
      <c r="BL52" s="63"/>
      <c r="BM52" s="63"/>
      <c r="BN52" s="64"/>
      <c r="BO52" s="64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</row>
    <row r="53" spans="1:69" ht="12.75">
      <c r="A53" s="1"/>
      <c r="B53" s="204"/>
      <c r="C53" s="54"/>
      <c r="D53" s="54"/>
      <c r="E53" s="54"/>
      <c r="F53" s="54"/>
      <c r="I53" s="129"/>
      <c r="J53" s="129"/>
      <c r="K53" s="129"/>
      <c r="L53" s="129"/>
      <c r="M53" s="130"/>
      <c r="Q53" s="32"/>
      <c r="R53" s="32"/>
      <c r="S53" s="32"/>
      <c r="Y53" s="32"/>
      <c r="AB53" s="64"/>
      <c r="AC53" s="64"/>
      <c r="AD53" s="65"/>
      <c r="AE53" s="64"/>
      <c r="AF53" s="64"/>
      <c r="AJ53" s="64"/>
      <c r="AK53" s="64"/>
      <c r="AL53" s="64"/>
      <c r="AM53" s="64"/>
      <c r="AN53" s="64"/>
      <c r="AQ53" s="64"/>
      <c r="AR53" s="64"/>
      <c r="AS53" s="64"/>
      <c r="AT53" s="55"/>
      <c r="AU53" s="54"/>
      <c r="AV53" s="64"/>
      <c r="AW53" s="54"/>
      <c r="AX53" s="54"/>
      <c r="AY53" s="31"/>
      <c r="AZ53" s="64"/>
      <c r="BA53" s="64"/>
      <c r="BB53" s="54"/>
      <c r="BD53" s="65"/>
      <c r="BE53" s="64"/>
      <c r="BF53" s="64"/>
      <c r="BG53" s="64"/>
      <c r="BJ53" s="64"/>
      <c r="BN53" s="13"/>
      <c r="BO53" s="13"/>
      <c r="BP53" s="64"/>
      <c r="BQ53" s="64"/>
    </row>
    <row r="54" spans="1:69" ht="12.75">
      <c r="A54" s="36" t="s">
        <v>212</v>
      </c>
      <c r="B54" s="204"/>
      <c r="C54" s="64"/>
      <c r="D54" s="64"/>
      <c r="E54" s="64"/>
      <c r="F54" s="64"/>
      <c r="G54" s="64"/>
      <c r="H54" s="64"/>
      <c r="M54" s="64"/>
      <c r="P54" s="64"/>
      <c r="Q54" s="32"/>
      <c r="R54" s="32"/>
      <c r="S54" s="32"/>
      <c r="T54" s="64"/>
      <c r="U54" s="64"/>
      <c r="V54" s="64"/>
      <c r="W54" s="64"/>
      <c r="X54" s="64"/>
      <c r="Y54" s="32"/>
      <c r="Z54" s="64"/>
      <c r="AA54" s="64"/>
      <c r="AD54" s="64"/>
      <c r="AE54" s="64"/>
      <c r="AF54" s="64"/>
      <c r="AG54" s="64"/>
      <c r="AH54" s="64"/>
      <c r="AI54" s="64"/>
      <c r="AJ54" s="64"/>
      <c r="AL54" s="64"/>
      <c r="AM54" s="64"/>
      <c r="AN54" s="64"/>
      <c r="AO54" s="64"/>
      <c r="AQ54" s="64"/>
      <c r="AR54" s="64"/>
      <c r="AS54" s="64"/>
      <c r="AT54" s="32"/>
      <c r="AU54" s="64"/>
      <c r="AV54" s="64"/>
      <c r="AW54" s="64"/>
      <c r="AX54" s="64"/>
      <c r="AY54" s="32"/>
      <c r="AZ54" s="64"/>
      <c r="BB54" s="64"/>
      <c r="BG54" s="64"/>
      <c r="BI54" s="32"/>
      <c r="BJ54" s="64"/>
      <c r="BK54" s="64"/>
      <c r="BL54" s="64"/>
      <c r="BM54" s="64"/>
      <c r="BN54" s="13"/>
      <c r="BO54" s="13"/>
      <c r="BP54" s="64"/>
      <c r="BQ54" s="64"/>
    </row>
    <row r="55" spans="1:69" ht="12.75">
      <c r="A55" s="36" t="s">
        <v>210</v>
      </c>
      <c r="B55" s="204"/>
      <c r="G55" s="64"/>
      <c r="H55" s="64"/>
      <c r="M55" s="64"/>
      <c r="Q55" s="32"/>
      <c r="R55" s="32"/>
      <c r="S55" s="32"/>
      <c r="T55" s="64"/>
      <c r="U55" s="64"/>
      <c r="V55" s="64"/>
      <c r="W55" s="64"/>
      <c r="X55" s="64"/>
      <c r="Y55" s="32"/>
      <c r="Z55" s="64"/>
      <c r="AA55" s="64"/>
      <c r="AD55" s="64"/>
      <c r="AE55" s="64"/>
      <c r="AF55" s="64"/>
      <c r="AG55" s="64"/>
      <c r="AJ55" s="64"/>
      <c r="AM55" s="64"/>
      <c r="AN55" s="64"/>
      <c r="AQ55" s="64"/>
      <c r="AR55" s="64"/>
      <c r="AS55" s="64"/>
      <c r="AT55" s="32"/>
      <c r="AU55" s="64"/>
      <c r="AV55" s="64"/>
      <c r="AW55" s="64"/>
      <c r="AX55" s="64"/>
      <c r="AZ55" s="64"/>
      <c r="BB55" s="64"/>
      <c r="BG55" s="64"/>
      <c r="BI55" s="32"/>
      <c r="BJ55" s="64"/>
      <c r="BK55" s="64"/>
      <c r="BM55" s="64"/>
      <c r="BN55" s="13"/>
      <c r="BO55" s="13"/>
      <c r="BP55" s="64"/>
      <c r="BQ55" s="64" t="s">
        <v>298</v>
      </c>
    </row>
    <row r="56" spans="1:69" ht="12.75">
      <c r="A56" s="32" t="s">
        <v>282</v>
      </c>
      <c r="B56" s="204"/>
      <c r="C56" s="121">
        <f>+'4.1. Mutual Insurance Div.'!B37-'4.1. Mutual Insurance Div.'!B46</f>
        <v>-308042.901</v>
      </c>
      <c r="D56" s="121">
        <f>+'4.1. Mutual Insurance Div.'!C37-'4.1. Mutual Insurance Div.'!C46</f>
        <v>1160740.0999999996</v>
      </c>
      <c r="E56" s="121">
        <f>+'4.1. Mutual Insurance Div.'!D37-'4.1. Mutual Insurance Div.'!D46</f>
        <v>14082.4</v>
      </c>
      <c r="F56" s="121">
        <f>+'4.1. Mutual Insurance Div.'!E37-'4.1. Mutual Insurance Div.'!E46</f>
        <v>2665.5</v>
      </c>
      <c r="G56" s="121">
        <f>+'4.1. Mutual Insurance Div.'!F37-'4.1. Mutual Insurance Div.'!F46</f>
        <v>-754493.0300000003</v>
      </c>
      <c r="H56" s="121">
        <f>+'4.1. Mutual Insurance Div.'!G37-'4.1. Mutual Insurance Div.'!G46</f>
        <v>502725.34200000006</v>
      </c>
      <c r="I56" s="121">
        <f>+'4.1. Mutual Insurance Div.'!H37-'4.1. Mutual Insurance Div.'!H46</f>
        <v>1179115</v>
      </c>
      <c r="J56" s="121">
        <f>+'4.1. Mutual Insurance Div.'!I37-'4.1. Mutual Insurance Div.'!I46</f>
        <v>-3895922.2</v>
      </c>
      <c r="K56" s="121">
        <f>+'4.1. Mutual Insurance Div.'!J37-'4.1. Mutual Insurance Div.'!J46</f>
        <v>-33417</v>
      </c>
      <c r="L56" s="121">
        <f>+'4.1. Mutual Insurance Div.'!K37-'4.1. Mutual Insurance Div.'!K46</f>
        <v>-11046</v>
      </c>
      <c r="M56" s="121">
        <f>+'4.1. Mutual Insurance Div.'!L37-'4.1. Mutual Insurance Div.'!L46</f>
        <v>605210.67</v>
      </c>
      <c r="N56" s="121">
        <f>+'4.1. Mutual Insurance Div.'!M37-'4.1. Mutual Insurance Div.'!M46</f>
        <v>226844</v>
      </c>
      <c r="O56" s="121">
        <f>+'4.1. Mutual Insurance Div.'!N37-'4.1. Mutual Insurance Div.'!N46</f>
        <v>84056</v>
      </c>
      <c r="P56" s="121">
        <f>+'4.1. Mutual Insurance Div.'!O37-'4.1. Mutual Insurance Div.'!O46</f>
        <v>-138394</v>
      </c>
      <c r="Q56" s="121">
        <f>+'4.1. Mutual Insurance Div.'!P37-'4.1. Mutual Insurance Div.'!P46</f>
        <v>-340752</v>
      </c>
      <c r="R56" s="122">
        <f>+'4.1. Mutual Insurance Div.'!Q37-'4.1. Mutual Insurance Div.'!Q46</f>
        <v>570582</v>
      </c>
      <c r="S56" s="122">
        <f>+'4.1. Mutual Insurance Div.'!R37-'4.1. Mutual Insurance Div.'!R46</f>
        <v>29114</v>
      </c>
      <c r="T56" s="121">
        <f>+'4.1. Mutual Insurance Div.'!S37-'4.1. Mutual Insurance Div.'!S46</f>
        <v>-1336674.4929999998</v>
      </c>
      <c r="U56" s="121">
        <f>+'4.1. Mutual Insurance Div.'!T37-'4.1. Mutual Insurance Div.'!T46</f>
        <v>-263099.8</v>
      </c>
      <c r="V56" s="121">
        <f>+'4.1. Mutual Insurance Div.'!U37-'4.1. Mutual Insurance Div.'!U46</f>
        <v>-534029</v>
      </c>
      <c r="W56" s="121">
        <f>+'4.1. Mutual Insurance Div.'!V37-'4.1. Mutual Insurance Div.'!V46</f>
        <v>24585</v>
      </c>
      <c r="X56" s="121">
        <f>+'4.1. Mutual Insurance Div.'!W37-'4.1. Mutual Insurance Div.'!W46</f>
        <v>-75199.212</v>
      </c>
      <c r="Y56" s="122">
        <f>+'4.1. Mutual Insurance Div.'!X37-'4.1. Mutual Insurance Div.'!X46</f>
        <v>-1042464.7370000001</v>
      </c>
      <c r="Z56" s="121">
        <f>+'4.1. Mutual Insurance Div.'!Y37-'4.1. Mutual Insurance Div.'!Y46</f>
        <v>-271589</v>
      </c>
      <c r="AA56" s="121">
        <f>+'4.1. Mutual Insurance Div.'!Z37-'4.1. Mutual Insurance Div.'!Z46</f>
        <v>-358476</v>
      </c>
      <c r="AB56" s="121">
        <f>+'4.1. Mutual Insurance Div.'!AA37-'4.1. Mutual Insurance Div.'!AA46</f>
        <v>206197.7</v>
      </c>
      <c r="AC56" s="121">
        <f>+'4.1. Mutual Insurance Div.'!AB37-'4.1. Mutual Insurance Div.'!AB46</f>
        <v>-42429</v>
      </c>
      <c r="AD56" s="121">
        <f>+'4.1. Mutual Insurance Div.'!AC37-'4.1. Mutual Insurance Div.'!AC46</f>
        <v>172310.8</v>
      </c>
      <c r="AE56" s="121">
        <f>+'4.1. Mutual Insurance Div.'!AD37-'4.1. Mutual Insurance Div.'!AD46</f>
        <v>-136002</v>
      </c>
      <c r="AF56" s="121">
        <f>+'4.1. Mutual Insurance Div.'!AE37-'4.1. Mutual Insurance Div.'!AE46</f>
        <v>-56367</v>
      </c>
      <c r="AG56" s="121">
        <f>+'4.1. Mutual Insurance Div.'!AF37-'4.1. Mutual Insurance Div.'!AF46</f>
        <v>471069.978</v>
      </c>
      <c r="AH56" s="121">
        <f>+'4.1. Mutual Insurance Div.'!AG37-'4.1. Mutual Insurance Div.'!AG46</f>
        <v>-2827.808</v>
      </c>
      <c r="AI56" s="121">
        <f>+'4.1. Mutual Insurance Div.'!AH37-'4.1. Mutual Insurance Div.'!AH46</f>
        <v>-182280.837</v>
      </c>
      <c r="AJ56" s="121">
        <f>+'4.1. Mutual Insurance Div.'!AI37-'4.1. Mutual Insurance Div.'!AI46</f>
        <v>25859</v>
      </c>
      <c r="AK56" s="121">
        <f>+'4.1. Mutual Insurance Div.'!AJ37-'4.1. Mutual Insurance Div.'!AJ46</f>
        <v>839</v>
      </c>
      <c r="AL56" s="121">
        <f>+'4.1. Mutual Insurance Div.'!AK37-'4.1. Mutual Insurance Div.'!AK46</f>
        <v>-1113</v>
      </c>
      <c r="AM56" s="121">
        <f>+'4.1. Mutual Insurance Div.'!AL37-'4.1. Mutual Insurance Div.'!AL46</f>
        <v>207482</v>
      </c>
      <c r="AN56" s="121">
        <f>+'4.1. Mutual Insurance Div.'!AM37-'4.1. Mutual Insurance Div.'!AM46</f>
        <v>-30017</v>
      </c>
      <c r="AO56" s="121">
        <f>+'4.1. Mutual Insurance Div.'!AN37-'4.1. Mutual Insurance Div.'!AN46</f>
        <v>207583</v>
      </c>
      <c r="AP56" s="121">
        <f>+'4.1. Mutual Insurance Div.'!AO37-'4.1. Mutual Insurance Div.'!AO46</f>
        <v>8301</v>
      </c>
      <c r="AQ56" s="121">
        <f>+'4.1. Mutual Insurance Div.'!AP37-'4.1. Mutual Insurance Div.'!AP46</f>
        <v>135649.54</v>
      </c>
      <c r="AR56" s="121">
        <f>+'4.1. Mutual Insurance Div.'!AQ37-'4.1. Mutual Insurance Div.'!AQ46</f>
        <v>97913</v>
      </c>
      <c r="AS56" s="121">
        <f>+'4.1. Mutual Insurance Div.'!AR37-'4.1. Mutual Insurance Div.'!AR46</f>
        <v>-113015</v>
      </c>
      <c r="AT56" s="121">
        <f>+'4.1. Mutual Insurance Div.'!AS37-'4.1. Mutual Insurance Div.'!AS46</f>
        <v>-88212.952</v>
      </c>
      <c r="AU56" s="121">
        <f>+'4.1. Mutual Insurance Div.'!AT37-'4.1. Mutual Insurance Div.'!AT46</f>
        <v>-18597</v>
      </c>
      <c r="AV56" s="121">
        <f>+'4.1. Mutual Insurance Div.'!AU37-'4.1. Mutual Insurance Div.'!AU46</f>
        <v>3481</v>
      </c>
      <c r="AW56" s="121">
        <f>+'4.1. Mutual Insurance Div.'!AV37-'4.1. Mutual Insurance Div.'!AV46</f>
        <v>4705.388999999999</v>
      </c>
      <c r="AX56" s="121">
        <f>+'4.1. Mutual Insurance Div.'!AW37-'4.1. Mutual Insurance Div.'!AW46</f>
        <v>60493</v>
      </c>
      <c r="AY56" s="121">
        <f>+'4.1. Mutual Insurance Div.'!AX37-'4.1. Mutual Insurance Div.'!AX46</f>
        <v>1740.4000000000015</v>
      </c>
      <c r="AZ56" s="121">
        <f>+'4.1. Mutual Insurance Div.'!AY37-'4.1. Mutual Insurance Div.'!AY46</f>
        <v>-15755</v>
      </c>
      <c r="BA56" s="121">
        <f>+'4.1. Mutual Insurance Div.'!AZ37-'4.1. Mutual Insurance Div.'!AZ46</f>
        <v>49267</v>
      </c>
      <c r="BB56" s="121">
        <f>+'4.1. Mutual Insurance Div.'!BA37-'4.1. Mutual Insurance Div.'!BA46</f>
        <v>27848.006</v>
      </c>
      <c r="BC56" s="121">
        <f>+'4.1. Mutual Insurance Div.'!BB37-'4.1. Mutual Insurance Div.'!BB46</f>
        <v>-8044</v>
      </c>
      <c r="BD56" s="121">
        <f>+'4.1. Mutual Insurance Div.'!BC37-'4.1. Mutual Insurance Div.'!BC46</f>
        <v>40945</v>
      </c>
      <c r="BE56" s="121">
        <f>+'4.1. Mutual Insurance Div.'!BD37-'4.1. Mutual Insurance Div.'!BD46</f>
        <v>37649.6</v>
      </c>
      <c r="BF56" s="121">
        <f>+'4.1. Mutual Insurance Div.'!BE37-'4.1. Mutual Insurance Div.'!BE46</f>
        <v>24898</v>
      </c>
      <c r="BG56" s="121">
        <f>+'4.1. Mutual Insurance Div.'!BF37-'4.1. Mutual Insurance Div.'!BF46</f>
        <v>12174</v>
      </c>
      <c r="BH56" s="121">
        <f>+'4.1. Mutual Insurance Div.'!BG37-'4.1. Mutual Insurance Div.'!BG46</f>
        <v>6237.5</v>
      </c>
      <c r="BI56" s="121">
        <f>+'4.1. Mutual Insurance Div.'!BH37-'4.1. Mutual Insurance Div.'!BH46</f>
        <v>2585.2259999999997</v>
      </c>
      <c r="BJ56" s="121">
        <f>+'4.1. Mutual Insurance Div.'!BI37-'4.1. Mutual Insurance Div.'!BI46</f>
        <v>871.3820000000001</v>
      </c>
      <c r="BK56" s="121">
        <f>+'4.1. Mutual Insurance Div.'!BJ37-'4.1. Mutual Insurance Div.'!BJ46</f>
        <v>0</v>
      </c>
      <c r="BL56" s="121">
        <f>+'4.1. Mutual Insurance Div.'!BK37-'4.1. Mutual Insurance Div.'!BK46</f>
        <v>-3852439.4370000013</v>
      </c>
      <c r="BM56" s="121">
        <f>+'4.1. Mutual Insurance Div.'!BL37-'4.1. Mutual Insurance Div.'!BL46</f>
        <v>0</v>
      </c>
      <c r="BN56" s="121">
        <f>+'4.1. Mutual Insurance Div.'!BM37-'4.1. Mutual Insurance Div.'!BM46</f>
        <v>1287012.5629999994</v>
      </c>
      <c r="BO56" s="121">
        <f>+'4.1. Mutual Insurance Div.'!BN37-'4.1. Mutual Insurance Div.'!BN46</f>
        <v>-5139452.000000001</v>
      </c>
      <c r="BP56" s="64"/>
      <c r="BQ56" s="64">
        <f>+BL56+'5.2 Ratios (Personal Pen.)'!AV62</f>
        <v>-5843366.563000001</v>
      </c>
    </row>
    <row r="57" spans="1:69" ht="12.75">
      <c r="A57" s="32" t="s">
        <v>283</v>
      </c>
      <c r="B57" s="204"/>
      <c r="C57" s="89">
        <f>+'4.1. Mutual Insurance Div.'!B52-'4.1. Mutual Insurance Div.'!B54+'4.1. Mutual Insurance Div.'!B56</f>
        <v>26782.6</v>
      </c>
      <c r="D57" s="89">
        <f>+'4.1. Mutual Insurance Div.'!C52-'4.1. Mutual Insurance Div.'!C54+'4.1. Mutual Insurance Div.'!C56</f>
        <v>108697</v>
      </c>
      <c r="E57" s="89">
        <f>+'4.1. Mutual Insurance Div.'!D52-'4.1. Mutual Insurance Div.'!D54+'4.1. Mutual Insurance Div.'!D56</f>
        <v>2419</v>
      </c>
      <c r="F57" s="89">
        <f>+'4.1. Mutual Insurance Div.'!E52-'4.1. Mutual Insurance Div.'!E54+'4.1. Mutual Insurance Div.'!E56</f>
        <v>495</v>
      </c>
      <c r="G57" s="89">
        <f>+'4.1. Mutual Insurance Div.'!F52-'4.1. Mutual Insurance Div.'!F54+'4.1. Mutual Insurance Div.'!F56</f>
        <v>81185</v>
      </c>
      <c r="H57" s="89">
        <f>+'4.1. Mutual Insurance Div.'!G52-'4.1. Mutual Insurance Div.'!G54+'4.1. Mutual Insurance Div.'!G56</f>
        <v>87836.24399999999</v>
      </c>
      <c r="I57" s="89">
        <f>+'4.1. Mutual Insurance Div.'!H52-'4.1. Mutual Insurance Div.'!H54+'4.1. Mutual Insurance Div.'!H56</f>
        <v>62372</v>
      </c>
      <c r="J57" s="89">
        <f>+'4.1. Mutual Insurance Div.'!I52-'4.1. Mutual Insurance Div.'!I54+'4.1. Mutual Insurance Div.'!I56</f>
        <v>82795</v>
      </c>
      <c r="K57" s="89">
        <f>+'4.1. Mutual Insurance Div.'!J52-'4.1. Mutual Insurance Div.'!J54+'4.1. Mutual Insurance Div.'!J56</f>
        <v>1067</v>
      </c>
      <c r="L57" s="89">
        <f>+'4.1. Mutual Insurance Div.'!K52-'4.1. Mutual Insurance Div.'!K54+'4.1. Mutual Insurance Div.'!K56</f>
        <v>50412</v>
      </c>
      <c r="M57" s="89">
        <f>+'4.1. Mutual Insurance Div.'!L52-'4.1. Mutual Insurance Div.'!L54+'4.1. Mutual Insurance Div.'!L56</f>
        <v>41809</v>
      </c>
      <c r="N57" s="89">
        <f>+'4.1. Mutual Insurance Div.'!M52-'4.1. Mutual Insurance Div.'!M54+'4.1. Mutual Insurance Div.'!M56</f>
        <v>23790</v>
      </c>
      <c r="O57" s="89">
        <f>+'4.1. Mutual Insurance Div.'!N52-'4.1. Mutual Insurance Div.'!N54+'4.1. Mutual Insurance Div.'!N56</f>
        <v>4920</v>
      </c>
      <c r="P57" s="89">
        <f>+'4.1. Mutual Insurance Div.'!O52-'4.1. Mutual Insurance Div.'!O54+'4.1. Mutual Insurance Div.'!O56</f>
        <v>3341</v>
      </c>
      <c r="Q57" s="89">
        <f>+'4.1. Mutual Insurance Div.'!P52-'4.1. Mutual Insurance Div.'!P54+'4.1. Mutual Insurance Div.'!P56</f>
        <v>37995</v>
      </c>
      <c r="R57" s="42">
        <f>+'4.1. Mutual Insurance Div.'!Q52-'4.1. Mutual Insurance Div.'!Q54+'4.1. Mutual Insurance Div.'!Q56</f>
        <v>22480</v>
      </c>
      <c r="S57" s="42">
        <f>+'4.1. Mutual Insurance Div.'!R52-'4.1. Mutual Insurance Div.'!R54+'4.1. Mutual Insurance Div.'!R56</f>
        <v>9582</v>
      </c>
      <c r="T57" s="89">
        <f>+'4.1. Mutual Insurance Div.'!S52-'4.1. Mutual Insurance Div.'!S54+'4.1. Mutual Insurance Div.'!S56</f>
        <v>10205.982</v>
      </c>
      <c r="U57" s="89">
        <f>+'4.1. Mutual Insurance Div.'!T52-'4.1. Mutual Insurance Div.'!T54+'4.1. Mutual Insurance Div.'!T56</f>
        <v>12786</v>
      </c>
      <c r="V57" s="89">
        <f>+'4.1. Mutual Insurance Div.'!U52-'4.1. Mutual Insurance Div.'!U54+'4.1. Mutual Insurance Div.'!U56</f>
        <v>34363</v>
      </c>
      <c r="W57" s="89">
        <f>+'4.1. Mutual Insurance Div.'!V52-'4.1. Mutual Insurance Div.'!V54+'4.1. Mutual Insurance Div.'!V56</f>
        <v>682</v>
      </c>
      <c r="X57" s="89">
        <f>+'4.1. Mutual Insurance Div.'!W52-'4.1. Mutual Insurance Div.'!W54+'4.1. Mutual Insurance Div.'!W56</f>
        <v>3727.508</v>
      </c>
      <c r="Y57" s="42">
        <f>+'4.1. Mutual Insurance Div.'!X52-'4.1. Mutual Insurance Div.'!X54+'4.1. Mutual Insurance Div.'!X56</f>
        <v>34502.653</v>
      </c>
      <c r="Z57" s="89">
        <f>+'4.1. Mutual Insurance Div.'!Y52-'4.1. Mutual Insurance Div.'!Y54+'4.1. Mutual Insurance Div.'!Y56</f>
        <v>27001</v>
      </c>
      <c r="AA57" s="89">
        <f>+'4.1. Mutual Insurance Div.'!Z52-'4.1. Mutual Insurance Div.'!Z54+'4.1. Mutual Insurance Div.'!Z56</f>
        <v>23740</v>
      </c>
      <c r="AB57" s="89">
        <f>+'4.1. Mutual Insurance Div.'!AA52-'4.1. Mutual Insurance Div.'!AA54+'4.1. Mutual Insurance Div.'!AA56</f>
        <v>20644.4</v>
      </c>
      <c r="AC57" s="89">
        <f>+'4.1. Mutual Insurance Div.'!AB52-'4.1. Mutual Insurance Div.'!AB54+'4.1. Mutual Insurance Div.'!AB56</f>
        <v>13412</v>
      </c>
      <c r="AD57" s="89">
        <f>+'4.1. Mutual Insurance Div.'!AC52-'4.1. Mutual Insurance Div.'!AC54+'4.1. Mutual Insurance Div.'!AC56</f>
        <v>14116</v>
      </c>
      <c r="AE57" s="89">
        <f>+'4.1. Mutual Insurance Div.'!AD52-'4.1. Mutual Insurance Div.'!AD54+'4.1. Mutual Insurance Div.'!AD56</f>
        <v>6655</v>
      </c>
      <c r="AF57" s="89">
        <f>+'4.1. Mutual Insurance Div.'!AE52-'4.1. Mutual Insurance Div.'!AE54+'4.1. Mutual Insurance Div.'!AE56</f>
        <v>1559</v>
      </c>
      <c r="AG57" s="89">
        <f>+'4.1. Mutual Insurance Div.'!AF52-'4.1. Mutual Insurance Div.'!AF54+'4.1. Mutual Insurance Div.'!AF56</f>
        <v>1663.389</v>
      </c>
      <c r="AH57" s="89">
        <f>+'4.1. Mutual Insurance Div.'!AG52-'4.1. Mutual Insurance Div.'!AG54+'4.1. Mutual Insurance Div.'!AG56</f>
        <v>1636.79</v>
      </c>
      <c r="AI57" s="89">
        <f>+'4.1. Mutual Insurance Div.'!AH52-'4.1. Mutual Insurance Div.'!AH54+'4.1. Mutual Insurance Div.'!AH56</f>
        <v>15991.832</v>
      </c>
      <c r="AJ57" s="89">
        <f>+'4.1. Mutual Insurance Div.'!AI52-'4.1. Mutual Insurance Div.'!AI54+'4.1. Mutual Insurance Div.'!AI56</f>
        <v>32668</v>
      </c>
      <c r="AK57" s="89">
        <f>+'4.1. Mutual Insurance Div.'!AJ52-'4.1. Mutual Insurance Div.'!AJ54+'4.1. Mutual Insurance Div.'!AJ56</f>
        <v>2354</v>
      </c>
      <c r="AL57" s="89">
        <f>+'4.1. Mutual Insurance Div.'!AK52-'4.1. Mutual Insurance Div.'!AK54+'4.1. Mutual Insurance Div.'!AK56</f>
        <v>1203</v>
      </c>
      <c r="AM57" s="89">
        <f>+'4.1. Mutual Insurance Div.'!AL52-'4.1. Mutual Insurance Div.'!AL54+'4.1. Mutual Insurance Div.'!AL56</f>
        <v>32076</v>
      </c>
      <c r="AN57" s="89">
        <f>+'4.1. Mutual Insurance Div.'!AM52-'4.1. Mutual Insurance Div.'!AM54+'4.1. Mutual Insurance Div.'!AM56</f>
        <v>2121</v>
      </c>
      <c r="AO57" s="89">
        <f>+'4.1. Mutual Insurance Div.'!AN52-'4.1. Mutual Insurance Div.'!AN54+'4.1. Mutual Insurance Div.'!AN56</f>
        <v>3869</v>
      </c>
      <c r="AP57" s="89">
        <f>+'4.1. Mutual Insurance Div.'!AO52-'4.1. Mutual Insurance Div.'!AO54+'4.1. Mutual Insurance Div.'!AO56</f>
        <v>520</v>
      </c>
      <c r="AQ57" s="89">
        <f>+'4.1. Mutual Insurance Div.'!AP52-'4.1. Mutual Insurance Div.'!AP54+'4.1. Mutual Insurance Div.'!AP56</f>
        <v>4154.8</v>
      </c>
      <c r="AR57" s="89">
        <f>+'4.1. Mutual Insurance Div.'!AQ52-'4.1. Mutual Insurance Div.'!AQ54+'4.1. Mutual Insurance Div.'!AQ56</f>
        <v>919</v>
      </c>
      <c r="AS57" s="89">
        <f>+'4.1. Mutual Insurance Div.'!AR52-'4.1. Mutual Insurance Div.'!AR54+'4.1. Mutual Insurance Div.'!AR56</f>
        <v>6435</v>
      </c>
      <c r="AT57" s="89">
        <f>+'4.1. Mutual Insurance Div.'!AS52-'4.1. Mutual Insurance Div.'!AS54+'4.1. Mutual Insurance Div.'!AS56</f>
        <v>-995.1999999999998</v>
      </c>
      <c r="AU57" s="89">
        <f>+'4.1. Mutual Insurance Div.'!AT52-'4.1. Mutual Insurance Div.'!AT54+'4.1. Mutual Insurance Div.'!AT56</f>
        <v>2963</v>
      </c>
      <c r="AV57" s="89">
        <f>+'4.1. Mutual Insurance Div.'!AU52-'4.1. Mutual Insurance Div.'!AU54+'4.1. Mutual Insurance Div.'!AU56</f>
        <v>1652</v>
      </c>
      <c r="AW57" s="89">
        <f>+'4.1. Mutual Insurance Div.'!AV52-'4.1. Mutual Insurance Div.'!AV54+'4.1. Mutual Insurance Div.'!AV56</f>
        <v>6038.577</v>
      </c>
      <c r="AX57" s="89">
        <f>+'4.1. Mutual Insurance Div.'!AW52-'4.1. Mutual Insurance Div.'!AW54+'4.1. Mutual Insurance Div.'!AW56</f>
        <v>2115</v>
      </c>
      <c r="AY57" s="89">
        <f>+'4.1. Mutual Insurance Div.'!AX52-'4.1. Mutual Insurance Div.'!AX54+'4.1. Mutual Insurance Div.'!AX56</f>
        <v>3402</v>
      </c>
      <c r="AZ57" s="89">
        <f>+'4.1. Mutual Insurance Div.'!AY52-'4.1. Mutual Insurance Div.'!AY54+'4.1. Mutual Insurance Div.'!AY56</f>
        <v>649</v>
      </c>
      <c r="BA57" s="89">
        <f>+'4.1. Mutual Insurance Div.'!AZ52-'4.1. Mutual Insurance Div.'!AZ54+'4.1. Mutual Insurance Div.'!AZ56</f>
        <v>738</v>
      </c>
      <c r="BB57" s="89">
        <f>+'4.1. Mutual Insurance Div.'!BA52-'4.1. Mutual Insurance Div.'!BA54+'4.1. Mutual Insurance Div.'!BA56</f>
        <v>1617.528</v>
      </c>
      <c r="BC57" s="89">
        <f>+'4.1. Mutual Insurance Div.'!BB52-'4.1. Mutual Insurance Div.'!BB54+'4.1. Mutual Insurance Div.'!BB56</f>
        <v>1889</v>
      </c>
      <c r="BD57" s="89">
        <f>+'4.1. Mutual Insurance Div.'!BC52-'4.1. Mutual Insurance Div.'!BC54+'4.1. Mutual Insurance Div.'!BC56</f>
        <v>1050</v>
      </c>
      <c r="BE57" s="89">
        <f>+'4.1. Mutual Insurance Div.'!BD52-'4.1. Mutual Insurance Div.'!BD54+'4.1. Mutual Insurance Div.'!BD56</f>
        <v>232</v>
      </c>
      <c r="BF57" s="89">
        <f>+'4.1. Mutual Insurance Div.'!BE52-'4.1. Mutual Insurance Div.'!BE54+'4.1. Mutual Insurance Div.'!BE56</f>
        <v>2562</v>
      </c>
      <c r="BG57" s="89">
        <f>+'4.1. Mutual Insurance Div.'!BF52-'4.1. Mutual Insurance Div.'!BF54+'4.1. Mutual Insurance Div.'!BF56</f>
        <v>1327</v>
      </c>
      <c r="BH57" s="89">
        <f>+'4.1. Mutual Insurance Div.'!BG52-'4.1. Mutual Insurance Div.'!BG54+'4.1. Mutual Insurance Div.'!BG56</f>
        <v>2201</v>
      </c>
      <c r="BI57" s="89">
        <f>+'4.1. Mutual Insurance Div.'!BH52-'4.1. Mutual Insurance Div.'!BH54+'4.1. Mutual Insurance Div.'!BH56</f>
        <v>576.136</v>
      </c>
      <c r="BJ57" s="89">
        <f>+'4.1. Mutual Insurance Div.'!BI52-'4.1. Mutual Insurance Div.'!BI54+'4.1. Mutual Insurance Div.'!BI56</f>
        <v>0</v>
      </c>
      <c r="BK57" s="89">
        <f>+'4.1. Mutual Insurance Div.'!BJ52-'4.1. Mutual Insurance Div.'!BJ54+'4.1. Mutual Insurance Div.'!BJ56</f>
        <v>0</v>
      </c>
      <c r="BL57" s="89">
        <f>+'4.1. Mutual Insurance Div.'!BK52-'4.1. Mutual Insurance Div.'!BK54+'4.1. Mutual Insurance Div.'!BK56</f>
        <v>985001.2390000001</v>
      </c>
      <c r="BM57" s="89">
        <f>+'4.1. Mutual Insurance Div.'!BL52-'4.1. Mutual Insurance Div.'!BL54+'4.1. Mutual Insurance Div.'!BL56</f>
        <v>0</v>
      </c>
      <c r="BN57" s="89">
        <f>+'4.1. Mutual Insurance Div.'!BM52-'4.1. Mutual Insurance Div.'!BM54+'4.1. Mutual Insurance Div.'!BM56</f>
        <v>210057.513</v>
      </c>
      <c r="BO57" s="89">
        <f>+'4.1. Mutual Insurance Div.'!BN52-'4.1. Mutual Insurance Div.'!BN54+'4.1. Mutual Insurance Div.'!BN56</f>
        <v>774943.7260000001</v>
      </c>
      <c r="BP57" s="64"/>
      <c r="BQ57" s="64">
        <f>+BL57+'5.2 Ratios (Personal Pen.)'!AV63</f>
        <v>1096157.5820000002</v>
      </c>
    </row>
    <row r="58" spans="1:69" ht="12.75">
      <c r="A58" s="29"/>
      <c r="B58" s="204"/>
      <c r="N58" s="1"/>
      <c r="O58" s="1"/>
      <c r="Q58" s="1"/>
      <c r="AT58" s="1"/>
      <c r="AY58" s="1"/>
      <c r="BI58" s="1"/>
      <c r="BK58" s="64"/>
      <c r="BL58" s="29"/>
      <c r="BM58" s="29"/>
      <c r="BN58" s="29"/>
      <c r="BO58" s="29"/>
      <c r="BP58" s="64"/>
      <c r="BQ58" s="64"/>
    </row>
    <row r="59" spans="1:69" ht="12.75">
      <c r="A59" s="32" t="s">
        <v>213</v>
      </c>
      <c r="B59" s="204"/>
      <c r="C59" s="121">
        <f>+'4.1. Mutual Insurance Div.'!B69+'4.1. Mutual Insurance Div.'!B72-('4.2 Ratios (Mutual Div.)'!C56-'4.2 Ratios (Mutual Div.)'!C57)</f>
        <v>43153520.397</v>
      </c>
      <c r="D59" s="121">
        <f>+'4.1. Mutual Insurance Div.'!C69+'4.1. Mutual Insurance Div.'!C72-('4.2 Ratios (Mutual Div.)'!D56-'4.2 Ratios (Mutual Div.)'!D57)</f>
        <v>170274590</v>
      </c>
      <c r="E59" s="121">
        <f>+'4.1. Mutual Insurance Div.'!D69+'4.1. Mutual Insurance Div.'!D72-('4.2 Ratios (Mutual Div.)'!E56-'4.2 Ratios (Mutual Div.)'!E57)</f>
        <v>280164.8</v>
      </c>
      <c r="F59" s="121">
        <f>+'4.1. Mutual Insurance Div.'!E69+'4.1. Mutual Insurance Div.'!E72-('4.2 Ratios (Mutual Div.)'!F56-'4.2 Ratios (Mutual Div.)'!F57)</f>
        <v>49708.996</v>
      </c>
      <c r="G59" s="121">
        <f>+'4.1. Mutual Insurance Div.'!F69+'4.1. Mutual Insurance Div.'!F72-('4.2 Ratios (Mutual Div.)'!G56-'4.2 Ratios (Mutual Div.)'!G57)</f>
        <v>198611021</v>
      </c>
      <c r="H59" s="121">
        <f>+'4.1. Mutual Insurance Div.'!G69+'4.1. Mutual Insurance Div.'!G72-('4.2 Ratios (Mutual Div.)'!H56-'4.2 Ratios (Mutual Div.)'!H57)</f>
        <v>105033719.125</v>
      </c>
      <c r="I59" s="121">
        <f>+'4.1. Mutual Insurance Div.'!H69+'4.1. Mutual Insurance Div.'!H72-('4.2 Ratios (Mutual Div.)'!I56-'4.2 Ratios (Mutual Div.)'!I57)</f>
        <v>90715023</v>
      </c>
      <c r="J59" s="121">
        <f>+'4.1. Mutual Insurance Div.'!I69+'4.1. Mutual Insurance Div.'!I72-('4.2 Ratios (Mutual Div.)'!J56-'4.2 Ratios (Mutual Div.)'!J57)</f>
        <v>96961732.7</v>
      </c>
      <c r="K59" s="121">
        <f>+'4.1. Mutual Insurance Div.'!J69+'4.1. Mutual Insurance Div.'!J72-('4.2 Ratios (Mutual Div.)'!K56-'4.2 Ratios (Mutual Div.)'!K57)</f>
        <v>926159</v>
      </c>
      <c r="L59" s="121">
        <f>+'4.1. Mutual Insurance Div.'!K69+'4.1. Mutual Insurance Div.'!K72-('4.2 Ratios (Mutual Div.)'!L56-'4.2 Ratios (Mutual Div.)'!L57)</f>
        <v>55486035</v>
      </c>
      <c r="M59" s="121">
        <f>+'4.1. Mutual Insurance Div.'!L69+'4.1. Mutual Insurance Div.'!L72-('4.2 Ratios (Mutual Div.)'!M56-'4.2 Ratios (Mutual Div.)'!M57)</f>
        <v>45525277.096</v>
      </c>
      <c r="N59" s="121">
        <f>+'4.1. Mutual Insurance Div.'!M69+'4.1. Mutual Insurance Div.'!M72-('4.2 Ratios (Mutual Div.)'!N56-'4.2 Ratios (Mutual Div.)'!N57)</f>
        <v>32176766</v>
      </c>
      <c r="O59" s="121">
        <f>+'4.1. Mutual Insurance Div.'!N69+'4.1. Mutual Insurance Div.'!N72-('4.2 Ratios (Mutual Div.)'!O56-'4.2 Ratios (Mutual Div.)'!O57)</f>
        <v>6616725</v>
      </c>
      <c r="P59" s="121">
        <f>+'4.1. Mutual Insurance Div.'!O69+'4.1. Mutual Insurance Div.'!O72-('4.2 Ratios (Mutual Div.)'!P56-'4.2 Ratios (Mutual Div.)'!P57)</f>
        <v>3624093</v>
      </c>
      <c r="Q59" s="121">
        <f>+'4.1. Mutual Insurance Div.'!P69+'4.1. Mutual Insurance Div.'!P72-('4.2 Ratios (Mutual Div.)'!Q56-'4.2 Ratios (Mutual Div.)'!Q57)</f>
        <v>37145541</v>
      </c>
      <c r="R59" s="122">
        <f>+'4.1. Mutual Insurance Div.'!Q69+'4.1. Mutual Insurance Div.'!Q72-('4.2 Ratios (Mutual Div.)'!R56-'4.2 Ratios (Mutual Div.)'!R57)</f>
        <v>31007547</v>
      </c>
      <c r="S59" s="122">
        <f>+'4.1. Mutual Insurance Div.'!R69+'4.1. Mutual Insurance Div.'!R72-('4.2 Ratios (Mutual Div.)'!S56-'4.2 Ratios (Mutual Div.)'!S57)</f>
        <v>1668069</v>
      </c>
      <c r="T59" s="121">
        <f>+'4.1. Mutual Insurance Div.'!S69+'4.1. Mutual Insurance Div.'!S72-('4.2 Ratios (Mutual Div.)'!T56-'4.2 Ratios (Mutual Div.)'!T57)</f>
        <v>28620929.431</v>
      </c>
      <c r="U59" s="121">
        <f>+'4.1. Mutual Insurance Div.'!T69+'4.1. Mutual Insurance Div.'!T72-('4.2 Ratios (Mutual Div.)'!U56-'4.2 Ratios (Mutual Div.)'!U57)</f>
        <v>26117185.8</v>
      </c>
      <c r="V59" s="121">
        <f>+'4.1. Mutual Insurance Div.'!U69+'4.1. Mutual Insurance Div.'!U72-('4.2 Ratios (Mutual Div.)'!V56-'4.2 Ratios (Mutual Div.)'!V57)</f>
        <v>26061249</v>
      </c>
      <c r="W59" s="121">
        <f>+'4.1. Mutual Insurance Div.'!V69+'4.1. Mutual Insurance Div.'!V72-('4.2 Ratios (Mutual Div.)'!W56-'4.2 Ratios (Mutual Div.)'!W57)</f>
        <v>476310</v>
      </c>
      <c r="X59" s="121">
        <f>+'4.1. Mutual Insurance Div.'!W69+'4.1. Mutual Insurance Div.'!W72-('4.2 Ratios (Mutual Div.)'!X56-'4.2 Ratios (Mutual Div.)'!X57)</f>
        <v>3174619.44</v>
      </c>
      <c r="Y59" s="122">
        <f>+'4.1. Mutual Insurance Div.'!X69+'4.1. Mutual Insurance Div.'!X72-('4.2 Ratios (Mutual Div.)'!Y56-'4.2 Ratios (Mutual Div.)'!Y57)</f>
        <v>24509385.490000002</v>
      </c>
      <c r="Z59" s="121">
        <f>+'4.1. Mutual Insurance Div.'!Y69+'4.1. Mutual Insurance Div.'!Y72-('4.2 Ratios (Mutual Div.)'!Z56-'4.2 Ratios (Mutual Div.)'!Z57)</f>
        <v>23764596</v>
      </c>
      <c r="AA59" s="121">
        <f>+'4.1. Mutual Insurance Div.'!Z69+'4.1. Mutual Insurance Div.'!Z72-('4.2 Ratios (Mutual Div.)'!AA56-'4.2 Ratios (Mutual Div.)'!AA57)</f>
        <v>23730456</v>
      </c>
      <c r="AB59" s="121">
        <f>+'4.1. Mutual Insurance Div.'!AA69+'4.1. Mutual Insurance Div.'!AA72-('4.2 Ratios (Mutual Div.)'!AB56-'4.2 Ratios (Mutual Div.)'!AB57)</f>
        <v>22063253.4</v>
      </c>
      <c r="AC59" s="121">
        <f>+'4.1. Mutual Insurance Div.'!AB69+'4.1. Mutual Insurance Div.'!AB72-('4.2 Ratios (Mutual Div.)'!AC56-'4.2 Ratios (Mutual Div.)'!AC57)</f>
        <v>20081879</v>
      </c>
      <c r="AD59" s="121">
        <f>+'4.1. Mutual Insurance Div.'!AC69+'4.1. Mutual Insurance Div.'!AC72-('4.2 Ratios (Mutual Div.)'!AD56-'4.2 Ratios (Mutual Div.)'!AD57)</f>
        <v>15985824</v>
      </c>
      <c r="AE59" s="121">
        <f>+'4.1. Mutual Insurance Div.'!AD69+'4.1. Mutual Insurance Div.'!AD72-('4.2 Ratios (Mutual Div.)'!AE56-'4.2 Ratios (Mutual Div.)'!AE57)</f>
        <v>15790307</v>
      </c>
      <c r="AF59" s="121">
        <f>+'4.1. Mutual Insurance Div.'!AE69+'4.1. Mutual Insurance Div.'!AE72-('4.2 Ratios (Mutual Div.)'!AF56-'4.2 Ratios (Mutual Div.)'!AF57)</f>
        <v>2740753.8</v>
      </c>
      <c r="AG59" s="121">
        <f>+'4.1. Mutual Insurance Div.'!AF69+'4.1. Mutual Insurance Div.'!AF72-('4.2 Ratios (Mutual Div.)'!AG56-'4.2 Ratios (Mutual Div.)'!AG57)</f>
        <v>12598354.394000001</v>
      </c>
      <c r="AH59" s="121">
        <f>+'4.1. Mutual Insurance Div.'!AG69+'4.1. Mutual Insurance Div.'!AG72-('4.2 Ratios (Mutual Div.)'!AH56-'4.2 Ratios (Mutual Div.)'!AH57)</f>
        <v>729849.038</v>
      </c>
      <c r="AI59" s="121">
        <f>+'4.1. Mutual Insurance Div.'!AH69+'4.1. Mutual Insurance Div.'!AH72-('4.2 Ratios (Mutual Div.)'!AI56-'4.2 Ratios (Mutual Div.)'!AI57)</f>
        <v>11159094.844</v>
      </c>
      <c r="AJ59" s="121">
        <f>+'4.1. Mutual Insurance Div.'!AI69+'4.1. Mutual Insurance Div.'!AI72-('4.2 Ratios (Mutual Div.)'!AJ56-'4.2 Ratios (Mutual Div.)'!AJ57)</f>
        <v>6982978</v>
      </c>
      <c r="AK59" s="121">
        <f>+'4.1. Mutual Insurance Div.'!AJ69+'4.1. Mutual Insurance Div.'!AJ72-('4.2 Ratios (Mutual Div.)'!AK56-'4.2 Ratios (Mutual Div.)'!AK57)</f>
        <v>623835</v>
      </c>
      <c r="AL59" s="121">
        <f>+'4.1. Mutual Insurance Div.'!AK69+'4.1. Mutual Insurance Div.'!AK72-('4.2 Ratios (Mutual Div.)'!AL56-'4.2 Ratios (Mutual Div.)'!AL57)</f>
        <v>487244</v>
      </c>
      <c r="AM59" s="121">
        <f>+'4.1. Mutual Insurance Div.'!AL69+'4.1. Mutual Insurance Div.'!AL72-('4.2 Ratios (Mutual Div.)'!AM56-'4.2 Ratios (Mutual Div.)'!AM57)</f>
        <v>6566650</v>
      </c>
      <c r="AN59" s="121">
        <f>+'4.1. Mutual Insurance Div.'!AM69+'4.1. Mutual Insurance Div.'!AM72-('4.2 Ratios (Mutual Div.)'!AN56-'4.2 Ratios (Mutual Div.)'!AN57)</f>
        <v>5312453</v>
      </c>
      <c r="AO59" s="121">
        <f>+'4.1. Mutual Insurance Div.'!AN69+'4.1. Mutual Insurance Div.'!AN72-('4.2 Ratios (Mutual Div.)'!AO56-'4.2 Ratios (Mutual Div.)'!AO57)</f>
        <v>4544677</v>
      </c>
      <c r="AP59" s="121">
        <f>+'4.1. Mutual Insurance Div.'!AO69+'4.1. Mutual Insurance Div.'!AO72-('4.2 Ratios (Mutual Div.)'!AP56-'4.2 Ratios (Mutual Div.)'!AP57)</f>
        <v>432148</v>
      </c>
      <c r="AQ59" s="121">
        <f>+'4.1. Mutual Insurance Div.'!AP69+'4.1. Mutual Insurance Div.'!AP72-('4.2 Ratios (Mutual Div.)'!AQ56-'4.2 Ratios (Mutual Div.)'!AQ57)</f>
        <v>4459452.300000001</v>
      </c>
      <c r="AR59" s="121">
        <f>+'4.1. Mutual Insurance Div.'!AQ69+'4.1. Mutual Insurance Div.'!AQ72-('4.2 Ratios (Mutual Div.)'!AR56-'4.2 Ratios (Mutual Div.)'!AR57)</f>
        <v>4116450</v>
      </c>
      <c r="AS59" s="121">
        <f>+'4.1. Mutual Insurance Div.'!AR69+'4.1. Mutual Insurance Div.'!AR72-('4.2 Ratios (Mutual Div.)'!AS56-'4.2 Ratios (Mutual Div.)'!AS57)</f>
        <v>4212999</v>
      </c>
      <c r="AT59" s="121">
        <f>+'4.1. Mutual Insurance Div.'!AS69+'4.1. Mutual Insurance Div.'!AS72-('4.2 Ratios (Mutual Div.)'!AT56-'4.2 Ratios (Mutual Div.)'!AT57)</f>
        <v>2982488.5919999997</v>
      </c>
      <c r="AU59" s="121">
        <f>+'4.1. Mutual Insurance Div.'!AT69+'4.1. Mutual Insurance Div.'!AT72-('4.2 Ratios (Mutual Div.)'!AU56-'4.2 Ratios (Mutual Div.)'!AU57)</f>
        <v>2779428</v>
      </c>
      <c r="AV59" s="121">
        <f>+'4.1. Mutual Insurance Div.'!AU69+'4.1. Mutual Insurance Div.'!AU72-('4.2 Ratios (Mutual Div.)'!AV56-'4.2 Ratios (Mutual Div.)'!AV57)</f>
        <v>133463</v>
      </c>
      <c r="AW59" s="121">
        <f>+'4.1. Mutual Insurance Div.'!AV69+'4.1. Mutual Insurance Div.'!AV72-('4.2 Ratios (Mutual Div.)'!AW56-'4.2 Ratios (Mutual Div.)'!AW57)</f>
        <v>2598378.436</v>
      </c>
      <c r="AX59" s="121">
        <f>+'4.1. Mutual Insurance Div.'!AW69+'4.1. Mutual Insurance Div.'!AW72-('4.2 Ratios (Mutual Div.)'!AX56-'4.2 Ratios (Mutual Div.)'!AX57)</f>
        <v>2450961</v>
      </c>
      <c r="AY59" s="121">
        <f>+'4.1. Mutual Insurance Div.'!AX69+'4.1. Mutual Insurance Div.'!AX72-('4.2 Ratios (Mutual Div.)'!AY56-'4.2 Ratios (Mutual Div.)'!AY57)</f>
        <v>2236433</v>
      </c>
      <c r="AZ59" s="121">
        <f>+'4.1. Mutual Insurance Div.'!AY69+'4.1. Mutual Insurance Div.'!AY72-('4.2 Ratios (Mutual Div.)'!AZ56-'4.2 Ratios (Mutual Div.)'!AZ57)</f>
        <v>1656086</v>
      </c>
      <c r="BA59" s="121">
        <f>+'4.1. Mutual Insurance Div.'!AZ69+'4.1. Mutual Insurance Div.'!AZ72-('4.2 Ratios (Mutual Div.)'!BA56-'4.2 Ratios (Mutual Div.)'!BA57)</f>
        <v>1200747</v>
      </c>
      <c r="BB59" s="121">
        <f>+'4.1. Mutual Insurance Div.'!BA69+'4.1. Mutual Insurance Div.'!BA72-('4.2 Ratios (Mutual Div.)'!BB56-'4.2 Ratios (Mutual Div.)'!BB57)</f>
        <v>1149222.418</v>
      </c>
      <c r="BC59" s="121">
        <f>+'4.1. Mutual Insurance Div.'!BB69+'4.1. Mutual Insurance Div.'!BB72-('4.2 Ratios (Mutual Div.)'!BC56-'4.2 Ratios (Mutual Div.)'!BC57)</f>
        <v>1005897</v>
      </c>
      <c r="BD59" s="121">
        <f>+'4.1. Mutual Insurance Div.'!BC69+'4.1. Mutual Insurance Div.'!BC72-('4.2 Ratios (Mutual Div.)'!BD56-'4.2 Ratios (Mutual Div.)'!BD57)</f>
        <v>890539</v>
      </c>
      <c r="BE59" s="121">
        <f>+'4.1. Mutual Insurance Div.'!BD69+'4.1. Mutual Insurance Div.'!BD72-('4.2 Ratios (Mutual Div.)'!BE56-'4.2 Ratios (Mutual Div.)'!BE57)</f>
        <v>854711</v>
      </c>
      <c r="BF59" s="121">
        <f>+'4.1. Mutual Insurance Div.'!BE69+'4.1. Mutual Insurance Div.'!BE72-('4.2 Ratios (Mutual Div.)'!BF56-'4.2 Ratios (Mutual Div.)'!BF57)</f>
        <v>645172</v>
      </c>
      <c r="BG59" s="121">
        <f>+'4.1. Mutual Insurance Div.'!BF69+'4.1. Mutual Insurance Div.'!BF72-('4.2 Ratios (Mutual Div.)'!BG56-'4.2 Ratios (Mutual Div.)'!BG57)</f>
        <v>356496</v>
      </c>
      <c r="BH59" s="121">
        <f>+'4.1. Mutual Insurance Div.'!BG69+'4.1. Mutual Insurance Div.'!BG72-('4.2 Ratios (Mutual Div.)'!BH56-'4.2 Ratios (Mutual Div.)'!BH57)</f>
        <v>203883.3</v>
      </c>
      <c r="BI59" s="121">
        <f>+'4.1. Mutual Insurance Div.'!BH69+'4.1. Mutual Insurance Div.'!BH72-('4.2 Ratios (Mutual Div.)'!BI56-'4.2 Ratios (Mutual Div.)'!BI57)</f>
        <v>99543.921</v>
      </c>
      <c r="BJ59" s="121">
        <f>+'4.1. Mutual Insurance Div.'!BI69+'4.1. Mutual Insurance Div.'!BI72-('4.2 Ratios (Mutual Div.)'!BJ56-'4.2 Ratios (Mutual Div.)'!BJ57)</f>
        <v>17134.12</v>
      </c>
      <c r="BK59" s="121">
        <f>+'4.1. Mutual Insurance Div.'!BJ69+'4.1. Mutual Insurance Div.'!BJ72-('4.2 Ratios (Mutual Div.)'!BK56-'4.2 Ratios (Mutual Div.)'!BK57)</f>
        <v>0</v>
      </c>
      <c r="BL59" s="121">
        <f>+'4.1. Mutual Insurance Div.'!BK69+'4.1. Mutual Insurance Div.'!BK72-('4.2 Ratios (Mutual Div.)'!BL56-'4.2 Ratios (Mutual Div.)'!BL57)</f>
        <v>1235859208.838</v>
      </c>
      <c r="BM59" s="121">
        <f>+'4.1. Mutual Insurance Div.'!BL69+'4.1. Mutual Insurance Div.'!BL72-('4.2 Ratios (Mutual Div.)'!BM56-'4.2 Ratios (Mutual Div.)'!BM57)</f>
        <v>0</v>
      </c>
      <c r="BN59" s="121">
        <f>+'4.1. Mutual Insurance Div.'!BM69+'4.1. Mutual Insurance Div.'!BM72-('4.2 Ratios (Mutual Div.)'!BN56-'4.2 Ratios (Mutual Div.)'!BN57)</f>
        <v>221764950.04500002</v>
      </c>
      <c r="BO59" s="121">
        <f>+'4.1. Mutual Insurance Div.'!BN69+'4.1. Mutual Insurance Div.'!BN72-('4.2 Ratios (Mutual Div.)'!BO56-'4.2 Ratios (Mutual Div.)'!BO57)</f>
        <v>1014094258.7929999</v>
      </c>
      <c r="BP59" s="64"/>
      <c r="BQ59" s="64">
        <f>+BL59+'5.2 Ratios (Personal Pen.)'!AV65</f>
        <v>1330596201.21</v>
      </c>
    </row>
    <row r="60" spans="1:69" ht="12.75">
      <c r="A60" s="32" t="s">
        <v>284</v>
      </c>
      <c r="B60" s="204"/>
      <c r="N60" s="1"/>
      <c r="O60" s="1"/>
      <c r="Q60" s="1"/>
      <c r="AT60" s="1"/>
      <c r="AY60" s="1"/>
      <c r="BI60" s="1"/>
      <c r="BK60" s="64"/>
      <c r="BL60" s="29"/>
      <c r="BM60" s="29"/>
      <c r="BN60" s="29"/>
      <c r="BO60" s="29"/>
      <c r="BP60" s="64"/>
      <c r="BQ60" s="64"/>
    </row>
    <row r="61" spans="1:69" ht="12.75">
      <c r="A61" s="32" t="s">
        <v>214</v>
      </c>
      <c r="B61" s="204"/>
      <c r="C61" s="66">
        <f>(2*(C56-C57))/C59</f>
        <v>-0.015517876544935454</v>
      </c>
      <c r="D61" s="66">
        <f aca="true" t="shared" si="21" ref="D61:M61">(2*(D56-D57))/D59</f>
        <v>0.01235701815520448</v>
      </c>
      <c r="E61" s="66">
        <f t="shared" si="21"/>
        <v>0.08326099495725373</v>
      </c>
      <c r="F61" s="66">
        <f t="shared" si="21"/>
        <v>0.0873282574445881</v>
      </c>
      <c r="G61" s="66">
        <f t="shared" si="21"/>
        <v>-0.008415223141116628</v>
      </c>
      <c r="H61" s="66">
        <f t="shared" si="21"/>
        <v>0.00790011248685278</v>
      </c>
      <c r="I61" s="66">
        <f t="shared" si="21"/>
        <v>0.024620905403948363</v>
      </c>
      <c r="J61" s="66">
        <f t="shared" si="21"/>
        <v>-0.08206778260265145</v>
      </c>
      <c r="K61" s="66">
        <f t="shared" si="21"/>
        <v>-0.07446669524347331</v>
      </c>
      <c r="L61" s="66">
        <f t="shared" si="21"/>
        <v>-0.0022152601100439056</v>
      </c>
      <c r="M61" s="66">
        <f t="shared" si="21"/>
        <v>0.024751158298803737</v>
      </c>
      <c r="N61" s="66">
        <f aca="true" t="shared" si="22" ref="N61:AS61">(2*(N56-N57))/N59</f>
        <v>0.012621156520204672</v>
      </c>
      <c r="O61" s="66">
        <f t="shared" si="22"/>
        <v>0.02391999062980553</v>
      </c>
      <c r="P61" s="66">
        <f t="shared" si="22"/>
        <v>-0.07821819142058441</v>
      </c>
      <c r="Q61" s="66">
        <f t="shared" si="22"/>
        <v>-0.020392595708863145</v>
      </c>
      <c r="R61" s="66">
        <f t="shared" si="22"/>
        <v>0.03535281265557704</v>
      </c>
      <c r="S61" s="66">
        <f t="shared" si="22"/>
        <v>0.023418695509598225</v>
      </c>
      <c r="T61" s="66">
        <f t="shared" si="22"/>
        <v>-0.09411856999592487</v>
      </c>
      <c r="U61" s="66">
        <f t="shared" si="22"/>
        <v>-0.02112676320585811</v>
      </c>
      <c r="V61" s="66">
        <f t="shared" si="22"/>
        <v>-0.04361970525664369</v>
      </c>
      <c r="W61" s="66">
        <f t="shared" si="22"/>
        <v>0.10036740778064705</v>
      </c>
      <c r="X61" s="66">
        <f t="shared" si="22"/>
        <v>-0.04972357883627147</v>
      </c>
      <c r="Y61" s="66">
        <f t="shared" si="22"/>
        <v>-0.08788203934687878</v>
      </c>
      <c r="Z61" s="66">
        <f t="shared" si="22"/>
        <v>-0.025128977576559686</v>
      </c>
      <c r="AA61" s="66">
        <f t="shared" si="22"/>
        <v>-0.032213118871377774</v>
      </c>
      <c r="AB61" s="66">
        <f t="shared" si="22"/>
        <v>0.01682012136977043</v>
      </c>
      <c r="AC61" s="66">
        <f t="shared" si="22"/>
        <v>-0.005561332184104884</v>
      </c>
      <c r="AD61" s="66">
        <f t="shared" si="22"/>
        <v>0.019791885610651035</v>
      </c>
      <c r="AE61" s="66">
        <f t="shared" si="22"/>
        <v>-0.01806893304861014</v>
      </c>
      <c r="AF61" s="66">
        <f t="shared" si="22"/>
        <v>-0.042270122912900825</v>
      </c>
      <c r="AG61" s="66">
        <f t="shared" si="22"/>
        <v>0.07451871479715733</v>
      </c>
      <c r="AH61" s="66">
        <f t="shared" si="22"/>
        <v>-0.01223430536329624</v>
      </c>
      <c r="AI61" s="66">
        <f t="shared" si="22"/>
        <v>-0.03553561857333023</v>
      </c>
      <c r="AJ61" s="66">
        <f t="shared" si="22"/>
        <v>-0.0019501708296947233</v>
      </c>
      <c r="AK61" s="66">
        <f t="shared" si="22"/>
        <v>-0.004857053547813124</v>
      </c>
      <c r="AL61" s="66">
        <f t="shared" si="22"/>
        <v>-0.009506530608894106</v>
      </c>
      <c r="AM61" s="66">
        <f t="shared" si="22"/>
        <v>0.05342328280021015</v>
      </c>
      <c r="AN61" s="66">
        <f t="shared" si="22"/>
        <v>-0.012099118806321675</v>
      </c>
      <c r="AO61" s="66">
        <f t="shared" si="22"/>
        <v>0.08964949544269042</v>
      </c>
      <c r="AP61" s="66">
        <f t="shared" si="22"/>
        <v>0.03601081111100827</v>
      </c>
      <c r="AQ61" s="66">
        <f t="shared" si="22"/>
        <v>0.0589734932247173</v>
      </c>
      <c r="AR61" s="66">
        <f t="shared" si="22"/>
        <v>0.04712507136003109</v>
      </c>
      <c r="AS61" s="66">
        <f t="shared" si="22"/>
        <v>-0.0567054490162471</v>
      </c>
      <c r="AT61" s="66">
        <f aca="true" t="shared" si="23" ref="AT61:BJ61">(2*(AT56-AT57))/AT59</f>
        <v>-0.05848656201666371</v>
      </c>
      <c r="AU61" s="66">
        <f t="shared" si="23"/>
        <v>-0.015513983452710415</v>
      </c>
      <c r="AV61" s="66">
        <f t="shared" si="23"/>
        <v>0.02740834538411395</v>
      </c>
      <c r="AW61" s="66">
        <f t="shared" si="23"/>
        <v>-0.0010261692304161356</v>
      </c>
      <c r="AX61" s="66">
        <f t="shared" si="23"/>
        <v>0.047636824902558626</v>
      </c>
      <c r="AY61" s="66">
        <f t="shared" si="23"/>
        <v>-0.0014859376516086094</v>
      </c>
      <c r="AZ61" s="66">
        <f t="shared" si="23"/>
        <v>-0.0198105653933431</v>
      </c>
      <c r="BA61" s="66">
        <f t="shared" si="23"/>
        <v>0.08083134915181966</v>
      </c>
      <c r="BB61" s="66">
        <f t="shared" si="23"/>
        <v>0.04564908861706525</v>
      </c>
      <c r="BC61" s="66">
        <f t="shared" si="23"/>
        <v>-0.019749536980426426</v>
      </c>
      <c r="BD61" s="66">
        <f t="shared" si="23"/>
        <v>0.08959742358279649</v>
      </c>
      <c r="BE61" s="66">
        <f t="shared" si="23"/>
        <v>0.08755614470856231</v>
      </c>
      <c r="BF61" s="66">
        <f t="shared" si="23"/>
        <v>0.0692404506085199</v>
      </c>
      <c r="BG61" s="66">
        <f t="shared" si="23"/>
        <v>0.060853417710156635</v>
      </c>
      <c r="BH61" s="66">
        <f t="shared" si="23"/>
        <v>0.03959618075634444</v>
      </c>
      <c r="BI61" s="66">
        <f t="shared" si="23"/>
        <v>0.040365900394861876</v>
      </c>
      <c r="BJ61" s="66">
        <f t="shared" si="23"/>
        <v>0.10171307309625474</v>
      </c>
      <c r="BK61" s="66"/>
      <c r="BL61" s="66">
        <f>(2*(BL56-BL57))/BL59</f>
        <v>-0.007828465639784874</v>
      </c>
      <c r="BM61" s="66"/>
      <c r="BN61" s="66">
        <f>(2*(BN56-BN57))/BN59</f>
        <v>0.009712581269325619</v>
      </c>
      <c r="BO61" s="66">
        <f>(2*(BO56-BO57))/BO59</f>
        <v>-0.011664390513440951</v>
      </c>
      <c r="BP61" s="66"/>
      <c r="BQ61" s="66">
        <f>(2*(BQ56-BQ57))/BQ59</f>
        <v>-0.010430698868205739</v>
      </c>
    </row>
    <row r="62" spans="1:69" ht="12.75">
      <c r="A62" s="123" t="s">
        <v>285</v>
      </c>
      <c r="B62" s="228"/>
      <c r="C62" s="66">
        <v>0.02</v>
      </c>
      <c r="D62" s="66">
        <v>0.02</v>
      </c>
      <c r="E62" s="66">
        <v>0.02</v>
      </c>
      <c r="F62" s="66">
        <v>0.02</v>
      </c>
      <c r="G62" s="66">
        <v>0.02</v>
      </c>
      <c r="H62" s="66">
        <v>0.02</v>
      </c>
      <c r="I62" s="66">
        <v>0.02</v>
      </c>
      <c r="J62" s="66">
        <v>0.02</v>
      </c>
      <c r="K62" s="66">
        <v>0.02</v>
      </c>
      <c r="L62" s="66">
        <v>0.02</v>
      </c>
      <c r="M62" s="66">
        <v>0.02</v>
      </c>
      <c r="N62" s="66">
        <v>0.02</v>
      </c>
      <c r="O62" s="66">
        <v>0.02</v>
      </c>
      <c r="P62" s="66">
        <v>0.02</v>
      </c>
      <c r="Q62" s="66">
        <v>0.02</v>
      </c>
      <c r="R62" s="66">
        <v>0.02</v>
      </c>
      <c r="S62" s="66">
        <v>0.02</v>
      </c>
      <c r="T62" s="66">
        <v>0.02</v>
      </c>
      <c r="U62" s="66">
        <v>0.02</v>
      </c>
      <c r="V62" s="66">
        <v>0.02</v>
      </c>
      <c r="W62" s="66">
        <v>0.02</v>
      </c>
      <c r="X62" s="66">
        <v>0.02</v>
      </c>
      <c r="Y62" s="66">
        <v>0.02</v>
      </c>
      <c r="Z62" s="66">
        <v>0.02</v>
      </c>
      <c r="AA62" s="66">
        <v>0.02</v>
      </c>
      <c r="AB62" s="66">
        <v>0.02</v>
      </c>
      <c r="AC62" s="66">
        <v>0.02</v>
      </c>
      <c r="AD62" s="66">
        <v>0.02</v>
      </c>
      <c r="AE62" s="66">
        <v>0.02</v>
      </c>
      <c r="AF62" s="66">
        <v>0.02</v>
      </c>
      <c r="AG62" s="66">
        <v>0.02</v>
      </c>
      <c r="AH62" s="66">
        <v>0.02</v>
      </c>
      <c r="AI62" s="66">
        <v>0.02</v>
      </c>
      <c r="AJ62" s="66">
        <v>0.02</v>
      </c>
      <c r="AK62" s="66">
        <v>0.02</v>
      </c>
      <c r="AL62" s="66">
        <v>0.02</v>
      </c>
      <c r="AM62" s="66">
        <v>0.02</v>
      </c>
      <c r="AN62" s="66">
        <v>0.02</v>
      </c>
      <c r="AO62" s="66">
        <v>0.02</v>
      </c>
      <c r="AP62" s="66">
        <v>0.02</v>
      </c>
      <c r="AQ62" s="66">
        <v>0.02</v>
      </c>
      <c r="AR62" s="66">
        <v>0.02</v>
      </c>
      <c r="AS62" s="66">
        <v>0.02</v>
      </c>
      <c r="AT62" s="66">
        <v>0.02</v>
      </c>
      <c r="AU62" s="66">
        <v>0.02</v>
      </c>
      <c r="AV62" s="66">
        <v>0.02</v>
      </c>
      <c r="AW62" s="66">
        <v>0.02</v>
      </c>
      <c r="AX62" s="66">
        <v>0.02</v>
      </c>
      <c r="AY62" s="66">
        <v>0.02</v>
      </c>
      <c r="AZ62" s="66">
        <v>0.02</v>
      </c>
      <c r="BA62" s="66">
        <v>0.02</v>
      </c>
      <c r="BB62" s="66">
        <v>0.02</v>
      </c>
      <c r="BC62" s="66">
        <v>0.02</v>
      </c>
      <c r="BD62" s="66">
        <v>0.02</v>
      </c>
      <c r="BE62" s="66">
        <v>0.02</v>
      </c>
      <c r="BF62" s="66">
        <v>0.02</v>
      </c>
      <c r="BG62" s="66">
        <v>0.02</v>
      </c>
      <c r="BH62" s="66">
        <v>0.02</v>
      </c>
      <c r="BI62" s="66">
        <v>0.02</v>
      </c>
      <c r="BJ62" s="66">
        <v>0.02</v>
      </c>
      <c r="BK62" s="66"/>
      <c r="BL62" s="66">
        <v>0.02</v>
      </c>
      <c r="BM62" s="66"/>
      <c r="BN62" s="66">
        <v>0.02</v>
      </c>
      <c r="BO62" s="66">
        <v>0.02</v>
      </c>
      <c r="BP62" s="66"/>
      <c r="BQ62" s="66">
        <v>0.02</v>
      </c>
    </row>
    <row r="63" spans="1:69" ht="12.75">
      <c r="A63" s="42"/>
      <c r="B63" s="232"/>
      <c r="N63" s="1"/>
      <c r="O63" s="1"/>
      <c r="BK63" s="64"/>
      <c r="BL63" s="73"/>
      <c r="BM63" s="73"/>
      <c r="BN63" s="73"/>
      <c r="BO63" s="73"/>
      <c r="BP63" s="73"/>
      <c r="BQ63" s="73"/>
    </row>
    <row r="64" spans="1:69" ht="12.75">
      <c r="A64" s="123" t="s">
        <v>286</v>
      </c>
      <c r="B64" s="228"/>
      <c r="C64" s="66">
        <f aca="true" t="shared" si="24" ref="C64:Q64">+(1+C61)/(1+C62)-1</f>
        <v>-0.03482144759307393</v>
      </c>
      <c r="D64" s="66">
        <f t="shared" si="24"/>
        <v>-0.007493119455681985</v>
      </c>
      <c r="E64" s="66">
        <f t="shared" si="24"/>
        <v>0.062020583291425346</v>
      </c>
      <c r="F64" s="66">
        <f t="shared" si="24"/>
        <v>0.06600809553390996</v>
      </c>
      <c r="G64" s="66">
        <f t="shared" si="24"/>
        <v>-0.02785806190305551</v>
      </c>
      <c r="H64" s="66">
        <f t="shared" si="24"/>
        <v>-0.011862634816811046</v>
      </c>
      <c r="I64" s="66">
        <f>+(1+I61)/(1+I62)-1</f>
        <v>0.004530299415635541</v>
      </c>
      <c r="J64" s="66">
        <f t="shared" si="24"/>
        <v>-0.10006645353201127</v>
      </c>
      <c r="K64" s="66">
        <f t="shared" si="24"/>
        <v>-0.09261440710144442</v>
      </c>
      <c r="L64" s="66">
        <f t="shared" si="24"/>
        <v>-0.021779666774552897</v>
      </c>
      <c r="M64" s="66">
        <f t="shared" si="24"/>
        <v>0.004657998332160629</v>
      </c>
      <c r="N64" s="66">
        <f>+(1+N61)/(1+N62)-1</f>
        <v>-0.0072341602743092315</v>
      </c>
      <c r="O64" s="66">
        <f>+(1+O61)/(1+O62)-1</f>
        <v>0.0038431280684367852</v>
      </c>
      <c r="P64" s="66">
        <f>+(1+P61)/(1+P62)-1</f>
        <v>-0.0962923445299847</v>
      </c>
      <c r="Q64" s="66">
        <f t="shared" si="24"/>
        <v>-0.03960058402829714</v>
      </c>
      <c r="R64" s="66">
        <f aca="true" t="shared" si="25" ref="R64:AE64">+(1+R61)/(1+R62)-1</f>
        <v>0.01505177711331096</v>
      </c>
      <c r="S64" s="66">
        <f t="shared" si="25"/>
        <v>0.0033516622643119387</v>
      </c>
      <c r="T64" s="66">
        <f t="shared" si="25"/>
        <v>-0.11188095097639694</v>
      </c>
      <c r="U64" s="66">
        <f>+(1+U61)/(1+U62)-1</f>
        <v>-0.040320356084174724</v>
      </c>
      <c r="V64" s="66">
        <f t="shared" si="25"/>
        <v>-0.06237226005553309</v>
      </c>
      <c r="W64" s="66">
        <f t="shared" si="25"/>
        <v>0.07879157625553646</v>
      </c>
      <c r="X64" s="66">
        <f>+(1+X61)/(1+X62)-1</f>
        <v>-0.06835644983948186</v>
      </c>
      <c r="Y64" s="66">
        <f t="shared" si="25"/>
        <v>-0.10576670524203802</v>
      </c>
      <c r="Z64" s="66">
        <f>+(1+Z61)/(1+Z62)-1</f>
        <v>-0.0442440956632939</v>
      </c>
      <c r="AA64" s="66">
        <f t="shared" si="25"/>
        <v>-0.05118933222684097</v>
      </c>
      <c r="AB64" s="66">
        <f t="shared" si="25"/>
        <v>-0.00311752806885246</v>
      </c>
      <c r="AC64" s="66">
        <f t="shared" si="25"/>
        <v>-0.025060129592259783</v>
      </c>
      <c r="AD64" s="66">
        <f t="shared" si="25"/>
        <v>-0.0002040337150481797</v>
      </c>
      <c r="AE64" s="66">
        <f t="shared" si="25"/>
        <v>-0.03732248338099031</v>
      </c>
      <c r="AF64" s="66">
        <f aca="true" t="shared" si="26" ref="AF64:AX64">+(1+AF61)/(1+AF62)-1</f>
        <v>-0.06104914011068707</v>
      </c>
      <c r="AG64" s="66">
        <f t="shared" si="26"/>
        <v>0.053449720389370015</v>
      </c>
      <c r="AH64" s="66">
        <f>+(1+AH61)/(1+AH62)-1</f>
        <v>-0.031602260160094375</v>
      </c>
      <c r="AI64" s="66">
        <f t="shared" si="26"/>
        <v>-0.054446684875813944</v>
      </c>
      <c r="AJ64" s="66">
        <f>+(1+AJ61)/(1+AJ62)-1</f>
        <v>-0.021519775323230128</v>
      </c>
      <c r="AK64" s="66">
        <f>+(1+AK61)/(1+AK62)-1</f>
        <v>-0.024369660340993193</v>
      </c>
      <c r="AL64" s="66">
        <f>+(1+AL61)/(1+AL62)-1</f>
        <v>-0.028927971185190304</v>
      </c>
      <c r="AM64" s="66">
        <f>+(1+AM61)/(1+AM62)-1</f>
        <v>0.032767924313931385</v>
      </c>
      <c r="AN64" s="66">
        <f t="shared" si="26"/>
        <v>-0.03146972431992323</v>
      </c>
      <c r="AO64" s="66">
        <f t="shared" si="26"/>
        <v>0.06828381906146119</v>
      </c>
      <c r="AP64" s="66">
        <f t="shared" si="26"/>
        <v>0.015696873638243458</v>
      </c>
      <c r="AQ64" s="66">
        <f t="shared" si="26"/>
        <v>0.03820930708305603</v>
      </c>
      <c r="AR64" s="66">
        <f t="shared" si="26"/>
        <v>0.026593207215716674</v>
      </c>
      <c r="AS64" s="66">
        <f t="shared" si="26"/>
        <v>-0.0752014206041638</v>
      </c>
      <c r="AT64" s="66">
        <f t="shared" si="26"/>
        <v>-0.0769476098202585</v>
      </c>
      <c r="AU64" s="66">
        <f t="shared" si="26"/>
        <v>-0.03481763083599054</v>
      </c>
      <c r="AV64" s="66">
        <f>+(1+AV61)/(1+AV62)-1</f>
        <v>0.007263083709915463</v>
      </c>
      <c r="AW64" s="66">
        <f t="shared" si="26"/>
        <v>-0.02061389140236869</v>
      </c>
      <c r="AX64" s="66">
        <f t="shared" si="26"/>
        <v>0.027094926375057504</v>
      </c>
      <c r="AY64" s="66">
        <f aca="true" t="shared" si="27" ref="AY64:BH64">+(1+AY61)/(1+AY62)-1</f>
        <v>-0.021064644756479067</v>
      </c>
      <c r="AZ64" s="66">
        <f t="shared" si="27"/>
        <v>-0.03902996607190501</v>
      </c>
      <c r="BA64" s="66">
        <f t="shared" si="27"/>
        <v>0.059638577599823384</v>
      </c>
      <c r="BB64" s="66">
        <f t="shared" si="27"/>
        <v>0.025146165310848234</v>
      </c>
      <c r="BC64" s="66">
        <f t="shared" si="27"/>
        <v>-0.038970134294535774</v>
      </c>
      <c r="BD64" s="66">
        <f t="shared" si="27"/>
        <v>0.06823276821842805</v>
      </c>
      <c r="BE64" s="66">
        <f t="shared" si="27"/>
        <v>0.06623151442015907</v>
      </c>
      <c r="BF64" s="66">
        <f t="shared" si="27"/>
        <v>0.04827495157698025</v>
      </c>
      <c r="BG64" s="66">
        <f t="shared" si="27"/>
        <v>0.04005237030407516</v>
      </c>
      <c r="BH64" s="66">
        <f t="shared" si="27"/>
        <v>0.01921194191798481</v>
      </c>
      <c r="BI64" s="66">
        <f>+(1+BI61)/(1+BI62)-1</f>
        <v>0.01996656901457028</v>
      </c>
      <c r="BJ64" s="66">
        <f>+(1+BJ61)/(1+BJ62)-1</f>
        <v>0.0801108559767203</v>
      </c>
      <c r="BK64" s="66"/>
      <c r="BL64" s="66">
        <f>+(1+BL61)/(1+BL62)-1</f>
        <v>-0.027282809450769552</v>
      </c>
      <c r="BM64" s="66"/>
      <c r="BN64" s="66">
        <f>+(1+BN61)/(1+BN62)-1</f>
        <v>-0.010085704637916026</v>
      </c>
      <c r="BO64" s="66">
        <f>+(1+BO61)/(1+BO62)-1</f>
        <v>-0.031043520111216583</v>
      </c>
      <c r="BP64" s="66"/>
      <c r="BQ64" s="66">
        <f>+((1+BQ61)/(1+BQ62))-1</f>
        <v>-0.029834018498240855</v>
      </c>
    </row>
    <row r="65" spans="1:68" ht="12.75">
      <c r="A65" s="93"/>
      <c r="G65" s="64"/>
      <c r="H65" s="64"/>
      <c r="M65" s="64"/>
      <c r="Q65" s="32"/>
      <c r="R65" s="32"/>
      <c r="S65" s="32"/>
      <c r="T65" s="64"/>
      <c r="U65" s="64"/>
      <c r="V65" s="64"/>
      <c r="W65" s="64"/>
      <c r="X65" s="64"/>
      <c r="Y65" s="32"/>
      <c r="Z65" s="64"/>
      <c r="AA65" s="64"/>
      <c r="AD65" s="64"/>
      <c r="AE65" s="64"/>
      <c r="AF65" s="64"/>
      <c r="AG65" s="64"/>
      <c r="AJ65" s="64"/>
      <c r="AM65" s="64"/>
      <c r="AN65" s="64"/>
      <c r="AQ65" s="64"/>
      <c r="AR65" s="64"/>
      <c r="AS65" s="64"/>
      <c r="AT65" s="32"/>
      <c r="AU65" s="64"/>
      <c r="AV65" s="64"/>
      <c r="AW65" s="64"/>
      <c r="AX65" s="64"/>
      <c r="AZ65" s="64"/>
      <c r="BB65" s="64"/>
      <c r="BG65" s="64"/>
      <c r="BI65" s="32"/>
      <c r="BJ65" s="64"/>
      <c r="BK65" s="64"/>
      <c r="BL65" s="29"/>
      <c r="BM65" s="29"/>
      <c r="BN65" s="29"/>
      <c r="BO65" s="29"/>
      <c r="BP65" s="64"/>
    </row>
    <row r="66" spans="1:68" ht="12.75">
      <c r="A66" s="36" t="s">
        <v>211</v>
      </c>
      <c r="B66" s="204"/>
      <c r="G66" s="64"/>
      <c r="H66" s="64"/>
      <c r="M66" s="64"/>
      <c r="Q66" s="32"/>
      <c r="R66" s="32"/>
      <c r="S66" s="32"/>
      <c r="T66" s="64"/>
      <c r="U66" s="64"/>
      <c r="V66" s="64"/>
      <c r="W66" s="64"/>
      <c r="X66" s="64"/>
      <c r="Y66" s="32"/>
      <c r="Z66" s="64"/>
      <c r="AA66" s="64"/>
      <c r="AD66" s="64"/>
      <c r="AE66" s="64"/>
      <c r="AF66" s="64"/>
      <c r="AG66" s="64"/>
      <c r="AJ66" s="64"/>
      <c r="AM66" s="64"/>
      <c r="AN66" s="64"/>
      <c r="AQ66" s="64"/>
      <c r="AR66" s="64"/>
      <c r="AS66" s="64"/>
      <c r="AT66" s="32"/>
      <c r="AU66" s="64"/>
      <c r="AV66" s="64"/>
      <c r="AW66" s="64"/>
      <c r="AX66" s="64"/>
      <c r="AZ66" s="64"/>
      <c r="BB66" s="64"/>
      <c r="BG66" s="64"/>
      <c r="BI66" s="32"/>
      <c r="BJ66" s="64"/>
      <c r="BK66" s="64"/>
      <c r="BL66" s="29"/>
      <c r="BM66" s="29"/>
      <c r="BN66" s="29"/>
      <c r="BO66" s="29"/>
      <c r="BP66" s="64"/>
    </row>
    <row r="67" spans="1:69" ht="12.75">
      <c r="A67" s="125" t="s">
        <v>223</v>
      </c>
      <c r="B67" s="230"/>
      <c r="C67" s="13">
        <f>+'4.1. Mutual Insurance Div.'!B19</f>
        <v>77003.124</v>
      </c>
      <c r="D67" s="13">
        <f>+'4.1. Mutual Insurance Div.'!C19</f>
        <v>8820811</v>
      </c>
      <c r="E67" s="13">
        <f>+'4.1. Mutual Insurance Div.'!D19</f>
        <v>195540</v>
      </c>
      <c r="F67" s="13">
        <f>+'4.1. Mutual Insurance Div.'!E19</f>
        <v>30385.5</v>
      </c>
      <c r="G67" s="13">
        <f>+'4.1. Mutual Insurance Div.'!F19</f>
        <v>2082993</v>
      </c>
      <c r="H67" s="13">
        <f>+'4.1. Mutual Insurance Div.'!G19</f>
        <v>1988485.214</v>
      </c>
      <c r="I67" s="13">
        <f>+'4.1. Mutual Insurance Div.'!H19</f>
        <v>1153872</v>
      </c>
      <c r="J67" s="13">
        <f>+'4.1. Mutual Insurance Div.'!I19</f>
        <v>1457524.3</v>
      </c>
      <c r="K67" s="13">
        <f>+'4.1. Mutual Insurance Div.'!J19</f>
        <v>485</v>
      </c>
      <c r="L67" s="13">
        <f>+'4.1. Mutual Insurance Div.'!K19</f>
        <v>986451</v>
      </c>
      <c r="M67" s="13">
        <f>+'4.1. Mutual Insurance Div.'!L19</f>
        <v>274216</v>
      </c>
      <c r="N67" s="13">
        <f>+'4.1. Mutual Insurance Div.'!M19</f>
        <v>569298</v>
      </c>
      <c r="O67" s="13">
        <f>+'4.1. Mutual Insurance Div.'!N19</f>
        <v>16852</v>
      </c>
      <c r="P67" s="13">
        <f>+'4.1. Mutual Insurance Div.'!O19</f>
        <v>751</v>
      </c>
      <c r="Q67" s="13">
        <f>+'4.1. Mutual Insurance Div.'!P19</f>
        <v>214340</v>
      </c>
      <c r="R67" s="13">
        <f>+'4.1. Mutual Insurance Div.'!Q19</f>
        <v>774495</v>
      </c>
      <c r="S67" s="13">
        <f>+'4.1. Mutual Insurance Div.'!R19</f>
        <v>2913</v>
      </c>
      <c r="T67" s="13">
        <f>+'4.1. Mutual Insurance Div.'!S19</f>
        <v>387266.579</v>
      </c>
      <c r="U67" s="13">
        <f>+'4.1. Mutual Insurance Div.'!T19</f>
        <v>296791</v>
      </c>
      <c r="V67" s="13">
        <f>+'4.1. Mutual Insurance Div.'!U19</f>
        <v>328621</v>
      </c>
      <c r="W67" s="13">
        <f>+'4.1. Mutual Insurance Div.'!V19</f>
        <v>8166</v>
      </c>
      <c r="X67" s="13">
        <f>+'4.1. Mutual Insurance Div.'!W19</f>
        <v>1903.491</v>
      </c>
      <c r="Y67" s="13">
        <f>+'4.1. Mutual Insurance Div.'!X19</f>
        <v>125330.973</v>
      </c>
      <c r="Z67" s="13">
        <f>+'4.1. Mutual Insurance Div.'!Y19</f>
        <v>482529</v>
      </c>
      <c r="AA67" s="13">
        <f>+'4.1. Mutual Insurance Div.'!Z19</f>
        <v>631495</v>
      </c>
      <c r="AB67" s="13">
        <f>+'4.1. Mutual Insurance Div.'!AA19</f>
        <v>285171.5</v>
      </c>
      <c r="AC67" s="13">
        <f>+'4.1. Mutual Insurance Div.'!AB19</f>
        <v>574405</v>
      </c>
      <c r="AD67" s="13">
        <f>+'4.1. Mutual Insurance Div.'!AC19</f>
        <v>288894</v>
      </c>
      <c r="AE67" s="13">
        <f>+'4.1. Mutual Insurance Div.'!AD19</f>
        <v>273494</v>
      </c>
      <c r="AF67" s="13">
        <f>+'4.1. Mutual Insurance Div.'!AE19</f>
        <v>13013</v>
      </c>
      <c r="AG67" s="13">
        <f>+'4.1. Mutual Insurance Div.'!AF19</f>
        <v>226918.277</v>
      </c>
      <c r="AH67" s="13">
        <f>+'4.1. Mutual Insurance Div.'!AG19</f>
        <v>54.567</v>
      </c>
      <c r="AI67" s="13">
        <f>+'4.1. Mutual Insurance Div.'!AH19</f>
        <v>169827.738</v>
      </c>
      <c r="AJ67" s="13">
        <f>+'4.1. Mutual Insurance Div.'!AI19</f>
        <v>16257</v>
      </c>
      <c r="AK67" s="13">
        <f>+'4.1. Mutual Insurance Div.'!AJ19</f>
        <v>341</v>
      </c>
      <c r="AL67" s="13">
        <f>+'4.1. Mutual Insurance Div.'!AK19</f>
        <v>0</v>
      </c>
      <c r="AM67" s="13">
        <f>+'4.1. Mutual Insurance Div.'!AL19</f>
        <v>1144976</v>
      </c>
      <c r="AN67" s="13">
        <f>+'4.1. Mutual Insurance Div.'!AM19</f>
        <v>81380</v>
      </c>
      <c r="AO67" s="13">
        <f>+'4.1. Mutual Insurance Div.'!AN19</f>
        <v>117800</v>
      </c>
      <c r="AP67" s="13">
        <f>+'4.1. Mutual Insurance Div.'!AO19</f>
        <v>28890</v>
      </c>
      <c r="AQ67" s="13">
        <f>+'4.1. Mutual Insurance Div.'!AP19</f>
        <v>57058.8</v>
      </c>
      <c r="AR67" s="13">
        <f>+'4.1. Mutual Insurance Div.'!AQ19</f>
        <v>92867</v>
      </c>
      <c r="AS67" s="13">
        <f>+'4.1. Mutual Insurance Div.'!AR19</f>
        <v>55026</v>
      </c>
      <c r="AT67" s="13">
        <f>+'4.1. Mutual Insurance Div.'!AS19</f>
        <v>75810.078</v>
      </c>
      <c r="AU67" s="13">
        <f>+'4.1. Mutual Insurance Div.'!AT19</f>
        <v>45456</v>
      </c>
      <c r="AV67" s="13">
        <f>+'4.1. Mutual Insurance Div.'!AU19</f>
        <v>0</v>
      </c>
      <c r="AW67" s="13">
        <f>+'4.1. Mutual Insurance Div.'!AV19</f>
        <v>101138.125</v>
      </c>
      <c r="AX67" s="13">
        <f>+'4.1. Mutual Insurance Div.'!AW19</f>
        <v>78430</v>
      </c>
      <c r="AY67" s="13">
        <f>+'4.1. Mutual Insurance Div.'!AX19</f>
        <v>152654</v>
      </c>
      <c r="AZ67" s="13">
        <f>+'4.1. Mutual Insurance Div.'!AY19</f>
        <v>50678</v>
      </c>
      <c r="BA67" s="13">
        <f>+'4.1. Mutual Insurance Div.'!AZ19</f>
        <v>36962</v>
      </c>
      <c r="BB67" s="13">
        <f>+'4.1. Mutual Insurance Div.'!BA19</f>
        <v>42319.755</v>
      </c>
      <c r="BC67" s="13">
        <f>+'4.1. Mutual Insurance Div.'!BB19</f>
        <v>60011</v>
      </c>
      <c r="BD67" s="13">
        <f>+'4.1. Mutual Insurance Div.'!BC19</f>
        <v>39357</v>
      </c>
      <c r="BE67" s="13">
        <f>+'4.1. Mutual Insurance Div.'!BD19</f>
        <v>36849</v>
      </c>
      <c r="BF67" s="13">
        <f>+'4.1. Mutual Insurance Div.'!BE19</f>
        <v>31063</v>
      </c>
      <c r="BG67" s="13">
        <f>+'4.1. Mutual Insurance Div.'!BF19</f>
        <v>24768</v>
      </c>
      <c r="BH67" s="13">
        <f>+'4.1. Mutual Insurance Div.'!BG19</f>
        <v>133092.5</v>
      </c>
      <c r="BI67" s="13">
        <f>+'4.1. Mutual Insurance Div.'!BH19</f>
        <v>52206.603</v>
      </c>
      <c r="BJ67" s="13">
        <f>+'4.1. Mutual Insurance Div.'!BI19</f>
        <v>1155.186</v>
      </c>
      <c r="BK67" s="13">
        <f>+'4.1. Mutual Insurance Div.'!BJ19</f>
        <v>0</v>
      </c>
      <c r="BL67" s="13">
        <f>+'4.1. Mutual Insurance Div.'!BK19</f>
        <v>25296842.310000006</v>
      </c>
      <c r="BM67" s="13">
        <f>+'4.1. Mutual Insurance Div.'!BL19</f>
        <v>0</v>
      </c>
      <c r="BN67" s="29">
        <f>+D67+E67+F67+AC67+AJ67+AM67+AN67+AP67+AT67+AW67+AY67+AZ67+BC67+BF67+BG67+BH67+BI67</f>
        <v>11574065.806</v>
      </c>
      <c r="BO67" s="29">
        <f>+C67+SUM(G67:AB67)+AD67+AE67+AF67+AG67+AH67+AI67+AK67+AL67+AO67+AQ67+AR67+AS67+AU67+AV67+AX67+BA67+BB67+BD67+BE67+BJ67</f>
        <v>13722776.504</v>
      </c>
      <c r="BP67" s="13"/>
      <c r="BQ67" s="13"/>
    </row>
    <row r="68" spans="1:69" ht="12.75">
      <c r="A68" s="125"/>
      <c r="B68" s="23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29"/>
      <c r="O68" s="29"/>
      <c r="P68" s="13"/>
      <c r="Q68" s="29"/>
      <c r="R68" s="29"/>
      <c r="S68" s="29"/>
      <c r="T68" s="13"/>
      <c r="U68" s="13"/>
      <c r="V68" s="13"/>
      <c r="W68" s="13"/>
      <c r="X68" s="13"/>
      <c r="Y68" s="29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29"/>
      <c r="AU68" s="13"/>
      <c r="AV68" s="13"/>
      <c r="AW68" s="13"/>
      <c r="AX68" s="13"/>
      <c r="AY68" s="29"/>
      <c r="AZ68" s="13"/>
      <c r="BA68" s="13"/>
      <c r="BB68" s="13"/>
      <c r="BC68" s="13"/>
      <c r="BD68" s="13"/>
      <c r="BE68" s="13"/>
      <c r="BF68" s="13"/>
      <c r="BG68" s="13"/>
      <c r="BH68" s="13"/>
      <c r="BI68" s="29"/>
      <c r="BJ68" s="13"/>
      <c r="BL68" s="29"/>
      <c r="BM68" s="29"/>
      <c r="BN68" s="29"/>
      <c r="BO68" s="29"/>
      <c r="BP68" s="13"/>
      <c r="BQ68" s="13"/>
    </row>
    <row r="69" spans="1:69" ht="12.75">
      <c r="A69" s="32" t="s">
        <v>224</v>
      </c>
      <c r="B69" s="204"/>
      <c r="C69" s="13">
        <f>+C67*(C21/100)</f>
        <v>7392.2999039999995</v>
      </c>
      <c r="D69" s="13">
        <f aca="true" t="shared" si="28" ref="D69:BJ69">+D67*(D21/100)</f>
        <v>6430371.2190000005</v>
      </c>
      <c r="E69" s="13">
        <f t="shared" si="28"/>
        <v>108133.61999999998</v>
      </c>
      <c r="F69" s="13">
        <f t="shared" si="28"/>
        <v>19568.262</v>
      </c>
      <c r="G69" s="13">
        <f t="shared" si="28"/>
        <v>1268542.737</v>
      </c>
      <c r="H69" s="13">
        <f t="shared" si="28"/>
        <v>1238826.2883219998</v>
      </c>
      <c r="I69" s="13">
        <f t="shared" si="28"/>
        <v>484626.24</v>
      </c>
      <c r="J69" s="13">
        <f t="shared" si="28"/>
        <v>930629.2655500001</v>
      </c>
      <c r="K69" s="13">
        <f t="shared" si="28"/>
        <v>6.789999999999999</v>
      </c>
      <c r="L69" s="13">
        <f t="shared" si="28"/>
        <v>544520.952</v>
      </c>
      <c r="M69" s="13">
        <f t="shared" si="28"/>
        <v>137108</v>
      </c>
      <c r="N69" s="13">
        <f t="shared" si="28"/>
        <v>462269.976</v>
      </c>
      <c r="O69" s="13">
        <f t="shared" si="28"/>
        <v>10144.904</v>
      </c>
      <c r="P69" s="13">
        <f t="shared" si="28"/>
        <v>143.2157</v>
      </c>
      <c r="Q69" s="13">
        <f t="shared" si="28"/>
        <v>110385.1</v>
      </c>
      <c r="R69" s="13">
        <f t="shared" si="28"/>
        <v>536260.3379999999</v>
      </c>
      <c r="S69" s="13">
        <f t="shared" si="28"/>
        <v>23.304000000000002</v>
      </c>
      <c r="T69" s="13">
        <f t="shared" si="28"/>
        <v>169235.49502300002</v>
      </c>
      <c r="U69" s="13">
        <f t="shared" si="28"/>
        <v>235652.054</v>
      </c>
      <c r="V69" s="13">
        <f t="shared" si="28"/>
        <v>146893.587</v>
      </c>
      <c r="W69" s="13">
        <f t="shared" si="28"/>
        <v>5912.184000000001</v>
      </c>
      <c r="X69" s="13">
        <f t="shared" si="28"/>
        <v>590.08221</v>
      </c>
      <c r="Y69" s="29">
        <f t="shared" si="28"/>
        <v>100264.77840000001</v>
      </c>
      <c r="Z69" s="13">
        <f t="shared" si="28"/>
        <v>235667.16360000003</v>
      </c>
      <c r="AA69" s="13">
        <f t="shared" si="28"/>
        <v>449245.543</v>
      </c>
      <c r="AB69" s="13">
        <f t="shared" si="28"/>
        <v>114353.7715</v>
      </c>
      <c r="AC69" s="13">
        <f t="shared" si="28"/>
        <v>506625.21</v>
      </c>
      <c r="AD69" s="13">
        <f t="shared" si="28"/>
        <v>159469.488</v>
      </c>
      <c r="AE69" s="13">
        <f t="shared" si="28"/>
        <v>188163.87199999997</v>
      </c>
      <c r="AF69" s="13">
        <f t="shared" si="28"/>
        <v>5084.1791</v>
      </c>
      <c r="AG69" s="13">
        <f t="shared" si="28"/>
        <v>169644.10388520002</v>
      </c>
      <c r="AH69" s="13">
        <f t="shared" si="28"/>
        <v>0</v>
      </c>
      <c r="AI69" s="13">
        <f t="shared" si="28"/>
        <v>83147.66052480001</v>
      </c>
      <c r="AJ69" s="13">
        <f t="shared" si="28"/>
        <v>2568.606</v>
      </c>
      <c r="AK69" s="13">
        <f t="shared" si="28"/>
        <v>175.95600000000002</v>
      </c>
      <c r="AL69" s="13">
        <f t="shared" si="28"/>
        <v>0</v>
      </c>
      <c r="AM69" s="13">
        <f t="shared" si="28"/>
        <v>774003.776</v>
      </c>
      <c r="AN69" s="13">
        <f t="shared" si="28"/>
        <v>64290.200000000004</v>
      </c>
      <c r="AO69" s="13">
        <f t="shared" si="28"/>
        <v>83755.8</v>
      </c>
      <c r="AP69" s="13">
        <f t="shared" si="28"/>
        <v>21031.92</v>
      </c>
      <c r="AQ69" s="13">
        <f t="shared" si="28"/>
        <v>31667.634000000005</v>
      </c>
      <c r="AR69" s="13">
        <f t="shared" si="28"/>
        <v>73643.53099999999</v>
      </c>
      <c r="AS69" s="13">
        <f t="shared" si="28"/>
        <v>26495.019</v>
      </c>
      <c r="AT69" s="13">
        <f t="shared" si="28"/>
        <v>54810.686394</v>
      </c>
      <c r="AU69" s="13">
        <f t="shared" si="28"/>
        <v>36792.0864</v>
      </c>
      <c r="AV69" s="13">
        <f t="shared" si="28"/>
        <v>0</v>
      </c>
      <c r="AW69" s="13">
        <f t="shared" si="28"/>
        <v>76561.560625</v>
      </c>
      <c r="AX69" s="13">
        <f t="shared" si="28"/>
        <v>54116.7</v>
      </c>
      <c r="AY69" s="13">
        <f t="shared" si="28"/>
        <v>104110.028</v>
      </c>
      <c r="AZ69" s="13">
        <f t="shared" si="28"/>
        <v>35474.6</v>
      </c>
      <c r="BA69" s="13">
        <f t="shared" si="28"/>
        <v>27943.271999999997</v>
      </c>
      <c r="BB69" s="13">
        <f t="shared" si="28"/>
        <v>35336.995424999994</v>
      </c>
      <c r="BC69" s="13">
        <f t="shared" si="28"/>
        <v>43027.887</v>
      </c>
      <c r="BD69" s="13">
        <f>+BD67*(BD21/100)</f>
        <v>31788.6489</v>
      </c>
      <c r="BE69" s="13">
        <f>+BE67*(BE21/100)</f>
        <v>27268.26</v>
      </c>
      <c r="BF69" s="13">
        <f>+BF67*(BF21/100)</f>
        <v>22458.549</v>
      </c>
      <c r="BG69" s="13">
        <f>+BG67*(BG21/100)</f>
        <v>13622.400000000001</v>
      </c>
      <c r="BH69" s="13">
        <f t="shared" si="28"/>
        <v>91966.9175</v>
      </c>
      <c r="BI69" s="13">
        <f t="shared" si="28"/>
        <v>26834.193942</v>
      </c>
      <c r="BJ69" s="13">
        <f t="shared" si="28"/>
        <v>0</v>
      </c>
      <c r="BK69" s="13"/>
      <c r="BL69" s="29">
        <f aca="true" t="shared" si="29" ref="BL69:BL74">SUM(C69:BJ69)</f>
        <v>16618646.910905</v>
      </c>
      <c r="BM69" s="29"/>
      <c r="BN69" s="29">
        <f aca="true" t="shared" si="30" ref="BN69:BN74">+D69+E69+F69+AC69+AJ69+AM69+AN69+AP69+AT69+AW69+AY69+AZ69+BC69+BF69+BG69+BH69+BI69</f>
        <v>8395459.635461</v>
      </c>
      <c r="BO69" s="29">
        <f aca="true" t="shared" si="31" ref="BO69:BO74">+C69+SUM(G69:AB69)+AD69+AE69+AF69+AG69+AH69+AI69+AK69+AL69+AO69+AQ69+AR69+AS69+AU69+AV69+AX69+BA69+BB69+BD69+BE69+BJ69</f>
        <v>8223187.275443999</v>
      </c>
      <c r="BP69" s="13"/>
      <c r="BQ69" s="124"/>
    </row>
    <row r="70" spans="1:96" ht="12.75">
      <c r="A70" s="32" t="s">
        <v>225</v>
      </c>
      <c r="B70" s="204"/>
      <c r="C70" s="13">
        <f>+C67*(C22/100)</f>
        <v>60293.44609199999</v>
      </c>
      <c r="D70" s="13">
        <f aca="true" t="shared" si="32" ref="D70:BJ70">+D67*(D22/100)</f>
        <v>361653.25099999993</v>
      </c>
      <c r="E70" s="13">
        <f t="shared" si="32"/>
        <v>5084.040000000001</v>
      </c>
      <c r="F70" s="13">
        <f t="shared" si="32"/>
        <v>0</v>
      </c>
      <c r="G70" s="13">
        <f t="shared" si="32"/>
        <v>529080.222</v>
      </c>
      <c r="H70" s="13">
        <f t="shared" si="32"/>
        <v>582626.1677019999</v>
      </c>
      <c r="I70" s="13">
        <f t="shared" si="32"/>
        <v>496164.96</v>
      </c>
      <c r="J70" s="13">
        <f t="shared" si="32"/>
        <v>255795.51465000003</v>
      </c>
      <c r="K70" s="13">
        <f t="shared" si="32"/>
        <v>478.21</v>
      </c>
      <c r="L70" s="13">
        <f t="shared" si="32"/>
        <v>319610.124</v>
      </c>
      <c r="M70" s="13">
        <f t="shared" si="32"/>
        <v>105079.57119999999</v>
      </c>
      <c r="N70" s="13">
        <f t="shared" si="32"/>
        <v>38142.966</v>
      </c>
      <c r="O70" s="13">
        <f t="shared" si="32"/>
        <v>4448.928</v>
      </c>
      <c r="P70" s="13">
        <f t="shared" si="32"/>
        <v>607.7843</v>
      </c>
      <c r="Q70" s="13">
        <f t="shared" si="32"/>
        <v>64945.02</v>
      </c>
      <c r="R70" s="13">
        <f t="shared" si="32"/>
        <v>115709.553</v>
      </c>
      <c r="S70" s="13">
        <f t="shared" si="32"/>
        <v>2018.7089999999998</v>
      </c>
      <c r="T70" s="13">
        <f t="shared" si="32"/>
        <v>170010.028181</v>
      </c>
      <c r="U70" s="13">
        <f t="shared" si="32"/>
        <v>21665.743</v>
      </c>
      <c r="V70" s="13">
        <f t="shared" si="32"/>
        <v>121589.77</v>
      </c>
      <c r="W70" s="13">
        <f t="shared" si="32"/>
        <v>636.948</v>
      </c>
      <c r="X70" s="13">
        <f t="shared" si="32"/>
        <v>620.5380660000001</v>
      </c>
      <c r="Y70" s="29">
        <f t="shared" si="32"/>
        <v>8773.16811</v>
      </c>
      <c r="Z70" s="13">
        <f t="shared" si="32"/>
        <v>186449.20560000002</v>
      </c>
      <c r="AA70" s="13">
        <f t="shared" si="32"/>
        <v>111585.16650000002</v>
      </c>
      <c r="AB70" s="13">
        <f t="shared" si="32"/>
        <v>127756.83199999998</v>
      </c>
      <c r="AC70" s="13">
        <f t="shared" si="32"/>
        <v>55142.880000000005</v>
      </c>
      <c r="AD70" s="13">
        <f t="shared" si="32"/>
        <v>94757.23199999999</v>
      </c>
      <c r="AE70" s="13">
        <f t="shared" si="32"/>
        <v>59348.198</v>
      </c>
      <c r="AF70" s="13">
        <f t="shared" si="32"/>
        <v>7576.168599999999</v>
      </c>
      <c r="AG70" s="13">
        <f t="shared" si="32"/>
        <v>9099.4229077</v>
      </c>
      <c r="AH70" s="13">
        <f t="shared" si="32"/>
        <v>0</v>
      </c>
      <c r="AI70" s="13">
        <f t="shared" si="32"/>
        <v>70937.0461626</v>
      </c>
      <c r="AJ70" s="13">
        <f t="shared" si="32"/>
        <v>9201.462000000001</v>
      </c>
      <c r="AK70" s="13">
        <f t="shared" si="32"/>
        <v>90.706</v>
      </c>
      <c r="AL70" s="13">
        <f t="shared" si="32"/>
        <v>0</v>
      </c>
      <c r="AM70" s="13">
        <f t="shared" si="32"/>
        <v>73278.464</v>
      </c>
      <c r="AN70" s="13">
        <f t="shared" si="32"/>
        <v>325.52</v>
      </c>
      <c r="AO70" s="13">
        <f t="shared" si="32"/>
        <v>10248.599999999999</v>
      </c>
      <c r="AP70" s="13">
        <f t="shared" si="32"/>
        <v>7858.080000000001</v>
      </c>
      <c r="AQ70" s="13">
        <f t="shared" si="32"/>
        <v>16318.816800000002</v>
      </c>
      <c r="AR70" s="13">
        <f t="shared" si="32"/>
        <v>835.8030000000001</v>
      </c>
      <c r="AS70" s="13">
        <f t="shared" si="32"/>
        <v>21278.554200000002</v>
      </c>
      <c r="AT70" s="13">
        <f t="shared" si="32"/>
        <v>4624.414758</v>
      </c>
      <c r="AU70" s="13">
        <f t="shared" si="32"/>
        <v>5809.2768</v>
      </c>
      <c r="AV70" s="13">
        <f t="shared" si="32"/>
        <v>0</v>
      </c>
      <c r="AW70" s="13">
        <f t="shared" si="32"/>
        <v>6270.56375</v>
      </c>
      <c r="AX70" s="13">
        <f t="shared" si="32"/>
        <v>10980.2</v>
      </c>
      <c r="AY70" s="13">
        <f t="shared" si="32"/>
        <v>12975.59</v>
      </c>
      <c r="AZ70" s="13">
        <f t="shared" si="32"/>
        <v>6030.682000000001</v>
      </c>
      <c r="BA70" s="13">
        <f t="shared" si="32"/>
        <v>73.924</v>
      </c>
      <c r="BB70" s="13">
        <f t="shared" si="32"/>
        <v>4443.574275</v>
      </c>
      <c r="BC70" s="13">
        <f t="shared" si="32"/>
        <v>3420.627</v>
      </c>
      <c r="BD70" s="13">
        <f>+BD67*(BD22/100)</f>
        <v>606.0978</v>
      </c>
      <c r="BE70" s="13">
        <f>+BE67*(BE22/100)</f>
        <v>1105.47</v>
      </c>
      <c r="BF70" s="13">
        <f>+BF67*(BF22/100)</f>
        <v>2609.2920000000004</v>
      </c>
      <c r="BG70" s="13">
        <f>+BG67*(BG22/100)</f>
        <v>1238.4</v>
      </c>
      <c r="BH70" s="13">
        <f t="shared" si="32"/>
        <v>4392.0525</v>
      </c>
      <c r="BI70" s="13">
        <f t="shared" si="32"/>
        <v>3758.8754160000008</v>
      </c>
      <c r="BJ70" s="13">
        <f t="shared" si="32"/>
        <v>0</v>
      </c>
      <c r="BK70" s="13"/>
      <c r="BL70" s="29">
        <f t="shared" si="29"/>
        <v>4195461.860370299</v>
      </c>
      <c r="BM70" s="29"/>
      <c r="BN70" s="29">
        <f t="shared" si="30"/>
        <v>557864.194424</v>
      </c>
      <c r="BO70" s="29">
        <f t="shared" si="31"/>
        <v>3637597.665946299</v>
      </c>
      <c r="BP70" s="13"/>
      <c r="BQ70" s="30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</row>
    <row r="71" spans="1:96" ht="12.75">
      <c r="A71" s="32" t="s">
        <v>226</v>
      </c>
      <c r="B71" s="204"/>
      <c r="C71" s="13">
        <f>+C67*(C23/100)</f>
        <v>5467.221803999999</v>
      </c>
      <c r="D71" s="13">
        <f aca="true" t="shared" si="33" ref="D71:BJ71">+D67*(D23/100)</f>
        <v>2019965.7189999998</v>
      </c>
      <c r="E71" s="13">
        <f t="shared" si="33"/>
        <v>81931.26</v>
      </c>
      <c r="F71" s="13">
        <f t="shared" si="33"/>
        <v>10817.238000000001</v>
      </c>
      <c r="G71" s="13">
        <f t="shared" si="33"/>
        <v>229129.23</v>
      </c>
      <c r="H71" s="13">
        <f t="shared" si="33"/>
        <v>129251.53891</v>
      </c>
      <c r="I71" s="13">
        <f t="shared" si="33"/>
        <v>126925.92</v>
      </c>
      <c r="J71" s="13">
        <f t="shared" si="33"/>
        <v>226645.02865</v>
      </c>
      <c r="K71" s="13">
        <f t="shared" si="33"/>
        <v>0</v>
      </c>
      <c r="L71" s="13">
        <f t="shared" si="33"/>
        <v>94699.296</v>
      </c>
      <c r="M71" s="13">
        <f t="shared" si="33"/>
        <v>23939.056800000002</v>
      </c>
      <c r="N71" s="13">
        <f t="shared" si="33"/>
        <v>68315.76</v>
      </c>
      <c r="O71" s="13">
        <f t="shared" si="33"/>
        <v>1954.8319999999999</v>
      </c>
      <c r="P71" s="13">
        <f t="shared" si="33"/>
        <v>0</v>
      </c>
      <c r="Q71" s="13">
        <f t="shared" si="33"/>
        <v>34294.4</v>
      </c>
      <c r="R71" s="13">
        <f t="shared" si="33"/>
        <v>117103.644</v>
      </c>
      <c r="S71" s="13">
        <f t="shared" si="33"/>
        <v>133.998</v>
      </c>
      <c r="T71" s="13">
        <f t="shared" si="33"/>
        <v>37564.858163</v>
      </c>
      <c r="U71" s="13">
        <f t="shared" si="33"/>
        <v>37395.666</v>
      </c>
      <c r="V71" s="13">
        <f t="shared" si="33"/>
        <v>47321.424000000006</v>
      </c>
      <c r="W71" s="13">
        <f t="shared" si="33"/>
        <v>1616.8680000000002</v>
      </c>
      <c r="X71" s="13">
        <f t="shared" si="33"/>
        <v>420.671511</v>
      </c>
      <c r="Y71" s="29">
        <f t="shared" si="33"/>
        <v>15039.71676</v>
      </c>
      <c r="Z71" s="13">
        <f t="shared" si="33"/>
        <v>45454.2318</v>
      </c>
      <c r="AA71" s="13">
        <f t="shared" si="33"/>
        <v>57276.5965</v>
      </c>
      <c r="AB71" s="13">
        <f t="shared" si="33"/>
        <v>34220.58</v>
      </c>
      <c r="AC71" s="13">
        <f t="shared" si="33"/>
        <v>11488.1</v>
      </c>
      <c r="AD71" s="13">
        <f t="shared" si="33"/>
        <v>27156.036</v>
      </c>
      <c r="AE71" s="13">
        <f t="shared" si="33"/>
        <v>22153.014</v>
      </c>
      <c r="AF71" s="13">
        <f t="shared" si="33"/>
        <v>183.48329999999999</v>
      </c>
      <c r="AG71" s="13">
        <f t="shared" si="33"/>
        <v>47539.3790315</v>
      </c>
      <c r="AH71" s="13">
        <f t="shared" si="33"/>
        <v>54.567</v>
      </c>
      <c r="AI71" s="13">
        <f t="shared" si="33"/>
        <v>10716.1302678</v>
      </c>
      <c r="AJ71" s="13">
        <f t="shared" si="33"/>
        <v>1479.387</v>
      </c>
      <c r="AK71" s="13">
        <f t="shared" si="33"/>
        <v>0</v>
      </c>
      <c r="AL71" s="13">
        <f t="shared" si="33"/>
        <v>0</v>
      </c>
      <c r="AM71" s="13">
        <f t="shared" si="33"/>
        <v>293113.856</v>
      </c>
      <c r="AN71" s="13">
        <f t="shared" si="33"/>
        <v>16845.66</v>
      </c>
      <c r="AO71" s="13">
        <f t="shared" si="33"/>
        <v>23560</v>
      </c>
      <c r="AP71" s="13">
        <f t="shared" si="33"/>
        <v>0</v>
      </c>
      <c r="AQ71" s="13">
        <f t="shared" si="33"/>
        <v>7303.526400000001</v>
      </c>
      <c r="AR71" s="13">
        <f t="shared" si="33"/>
        <v>18387.666</v>
      </c>
      <c r="AS71" s="13">
        <f t="shared" si="33"/>
        <v>4968.8478</v>
      </c>
      <c r="AT71" s="13">
        <f t="shared" si="33"/>
        <v>16374.976848</v>
      </c>
      <c r="AU71" s="13">
        <f t="shared" si="33"/>
        <v>2736.4512</v>
      </c>
      <c r="AV71" s="13">
        <f t="shared" si="33"/>
        <v>0</v>
      </c>
      <c r="AW71" s="13">
        <f t="shared" si="33"/>
        <v>17598.03375</v>
      </c>
      <c r="AX71" s="13">
        <f t="shared" si="33"/>
        <v>13333.1</v>
      </c>
      <c r="AY71" s="13">
        <f t="shared" si="33"/>
        <v>34347.15</v>
      </c>
      <c r="AZ71" s="13">
        <f t="shared" si="33"/>
        <v>8919.328000000001</v>
      </c>
      <c r="BA71" s="13">
        <f t="shared" si="33"/>
        <v>8612.146</v>
      </c>
      <c r="BB71" s="13">
        <f t="shared" si="33"/>
        <v>2412.226035</v>
      </c>
      <c r="BC71" s="13">
        <f t="shared" si="33"/>
        <v>13322.442000000001</v>
      </c>
      <c r="BD71" s="13">
        <f>+BD67*(BD23/100)</f>
        <v>6962.2533</v>
      </c>
      <c r="BE71" s="13">
        <f>+BE67*(BE23/100)</f>
        <v>8475.27</v>
      </c>
      <c r="BF71" s="13">
        <f>+BF67*(BF23/100)</f>
        <v>5467.088000000001</v>
      </c>
      <c r="BG71" s="13">
        <f>+BG67*(BG23/100)</f>
        <v>9907.2</v>
      </c>
      <c r="BH71" s="13">
        <f t="shared" si="33"/>
        <v>36334.2525</v>
      </c>
      <c r="BI71" s="13">
        <f t="shared" si="33"/>
        <v>14252.402619000002</v>
      </c>
      <c r="BJ71" s="13">
        <f t="shared" si="33"/>
        <v>0</v>
      </c>
      <c r="BK71" s="13"/>
      <c r="BL71" s="29">
        <f t="shared" si="29"/>
        <v>4130888.7289493</v>
      </c>
      <c r="BM71" s="29"/>
      <c r="BN71" s="29">
        <f t="shared" si="30"/>
        <v>2592164.0937170004</v>
      </c>
      <c r="BO71" s="29">
        <f t="shared" si="31"/>
        <v>1538724.6352323007</v>
      </c>
      <c r="BP71" s="13"/>
      <c r="BQ71" s="125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</row>
    <row r="72" spans="1:96" ht="12.75">
      <c r="A72" s="32" t="s">
        <v>227</v>
      </c>
      <c r="B72" s="204"/>
      <c r="C72" s="13">
        <f>+C67*(C24/100)</f>
        <v>3850.1562</v>
      </c>
      <c r="D72" s="13">
        <f aca="true" t="shared" si="34" ref="D72:BJ72">+D67*(D24/100)</f>
        <v>8820.811</v>
      </c>
      <c r="E72" s="13">
        <f t="shared" si="34"/>
        <v>391.08</v>
      </c>
      <c r="F72" s="13">
        <f t="shared" si="34"/>
        <v>0</v>
      </c>
      <c r="G72" s="13">
        <f t="shared" si="34"/>
        <v>56240.81100000001</v>
      </c>
      <c r="H72" s="13">
        <f t="shared" si="34"/>
        <v>37781.219066</v>
      </c>
      <c r="I72" s="13">
        <f t="shared" si="34"/>
        <v>46154.88</v>
      </c>
      <c r="J72" s="13">
        <f t="shared" si="34"/>
        <v>29150.486</v>
      </c>
      <c r="K72" s="13">
        <f t="shared" si="34"/>
        <v>0</v>
      </c>
      <c r="L72" s="13">
        <f t="shared" si="34"/>
        <v>27620.627999999997</v>
      </c>
      <c r="M72" s="13">
        <f t="shared" si="34"/>
        <v>8089.372</v>
      </c>
      <c r="N72" s="13">
        <f t="shared" si="34"/>
        <v>569.298</v>
      </c>
      <c r="O72" s="13">
        <f t="shared" si="34"/>
        <v>303.336</v>
      </c>
      <c r="P72" s="13">
        <f t="shared" si="34"/>
        <v>0</v>
      </c>
      <c r="Q72" s="13">
        <f t="shared" si="34"/>
        <v>4715.4800000000005</v>
      </c>
      <c r="R72" s="13">
        <f t="shared" si="34"/>
        <v>5421.464999999999</v>
      </c>
      <c r="S72" s="13">
        <f t="shared" si="34"/>
        <v>728.25</v>
      </c>
      <c r="T72" s="13">
        <f t="shared" si="34"/>
        <v>10456.197633000002</v>
      </c>
      <c r="U72" s="13">
        <f t="shared" si="34"/>
        <v>2077.537</v>
      </c>
      <c r="V72" s="13">
        <f t="shared" si="34"/>
        <v>12816.219</v>
      </c>
      <c r="W72" s="13">
        <f t="shared" si="34"/>
        <v>0</v>
      </c>
      <c r="X72" s="13">
        <f t="shared" si="34"/>
        <v>272.19921300000004</v>
      </c>
      <c r="Y72" s="29">
        <f t="shared" si="34"/>
        <v>1253.30973</v>
      </c>
      <c r="Z72" s="13">
        <f t="shared" si="34"/>
        <v>14958.399</v>
      </c>
      <c r="AA72" s="13">
        <f t="shared" si="34"/>
        <v>13387.694</v>
      </c>
      <c r="AB72" s="13">
        <f t="shared" si="34"/>
        <v>8840.3165</v>
      </c>
      <c r="AC72" s="13">
        <f t="shared" si="34"/>
        <v>1148.81</v>
      </c>
      <c r="AD72" s="13">
        <f t="shared" si="34"/>
        <v>7511.244000000001</v>
      </c>
      <c r="AE72" s="13">
        <f t="shared" si="34"/>
        <v>3828.9159999999997</v>
      </c>
      <c r="AF72" s="13">
        <f t="shared" si="34"/>
        <v>169.169</v>
      </c>
      <c r="AG72" s="13">
        <f t="shared" si="34"/>
        <v>658.0630033</v>
      </c>
      <c r="AH72" s="13">
        <f t="shared" si="34"/>
        <v>0</v>
      </c>
      <c r="AI72" s="13">
        <f t="shared" si="34"/>
        <v>5026.901044800001</v>
      </c>
      <c r="AJ72" s="13">
        <f t="shared" si="34"/>
        <v>3007.545</v>
      </c>
      <c r="AK72" s="13">
        <f t="shared" si="34"/>
        <v>74.338</v>
      </c>
      <c r="AL72" s="13">
        <f t="shared" si="34"/>
        <v>0</v>
      </c>
      <c r="AM72" s="13">
        <f t="shared" si="34"/>
        <v>4579.904</v>
      </c>
      <c r="AN72" s="13">
        <f t="shared" si="34"/>
        <v>0</v>
      </c>
      <c r="AO72" s="13">
        <f t="shared" si="34"/>
        <v>235.6</v>
      </c>
      <c r="AP72" s="13">
        <f t="shared" si="34"/>
        <v>0</v>
      </c>
      <c r="AQ72" s="13">
        <f t="shared" si="34"/>
        <v>1768.8228000000001</v>
      </c>
      <c r="AR72" s="13">
        <f t="shared" si="34"/>
        <v>0</v>
      </c>
      <c r="AS72" s="13">
        <f t="shared" si="34"/>
        <v>731.8458</v>
      </c>
      <c r="AT72" s="13">
        <f t="shared" si="34"/>
        <v>0</v>
      </c>
      <c r="AU72" s="13">
        <f t="shared" si="34"/>
        <v>113.64</v>
      </c>
      <c r="AV72" s="13">
        <f t="shared" si="34"/>
        <v>0</v>
      </c>
      <c r="AW72" s="13">
        <f t="shared" si="34"/>
        <v>707.966875</v>
      </c>
      <c r="AX72" s="13">
        <f t="shared" si="34"/>
        <v>0</v>
      </c>
      <c r="AY72" s="13">
        <f t="shared" si="34"/>
        <v>1221.232</v>
      </c>
      <c r="AZ72" s="13">
        <f t="shared" si="34"/>
        <v>253.39000000000001</v>
      </c>
      <c r="BA72" s="13">
        <f t="shared" si="34"/>
        <v>332.658</v>
      </c>
      <c r="BB72" s="13">
        <f t="shared" si="34"/>
        <v>126.95926499999999</v>
      </c>
      <c r="BC72" s="13">
        <f t="shared" si="34"/>
        <v>300.055</v>
      </c>
      <c r="BD72" s="13">
        <f>+BD67*(BD24/100)</f>
        <v>0</v>
      </c>
      <c r="BE72" s="13">
        <f>+BE67*(BE24/100)</f>
        <v>0</v>
      </c>
      <c r="BF72" s="13">
        <f>+BF67*(BF24/100)</f>
        <v>559.134</v>
      </c>
      <c r="BG72" s="13">
        <f>+BG67*(BG24/100)</f>
        <v>0</v>
      </c>
      <c r="BH72" s="13">
        <f t="shared" si="34"/>
        <v>399.27750000000003</v>
      </c>
      <c r="BI72" s="13">
        <f t="shared" si="34"/>
        <v>313.239618</v>
      </c>
      <c r="BJ72" s="13">
        <f t="shared" si="34"/>
        <v>0</v>
      </c>
      <c r="BK72" s="13"/>
      <c r="BL72" s="29">
        <f t="shared" si="29"/>
        <v>326967.8552481002</v>
      </c>
      <c r="BM72" s="29"/>
      <c r="BN72" s="29">
        <f t="shared" si="30"/>
        <v>21702.444993</v>
      </c>
      <c r="BO72" s="29">
        <f t="shared" si="31"/>
        <v>305265.41025510017</v>
      </c>
      <c r="BP72" s="13"/>
      <c r="BQ72" s="29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</row>
    <row r="73" spans="1:96" ht="12.75">
      <c r="A73" s="32" t="s">
        <v>228</v>
      </c>
      <c r="B73" s="204"/>
      <c r="C73" s="13">
        <f>+C67*(C25/100)</f>
        <v>0</v>
      </c>
      <c r="D73" s="13">
        <f aca="true" t="shared" si="35" ref="D73:BJ73">+D67*(D25/100)</f>
        <v>0</v>
      </c>
      <c r="E73" s="13">
        <f t="shared" si="35"/>
        <v>0</v>
      </c>
      <c r="F73" s="13">
        <f t="shared" si="35"/>
        <v>0</v>
      </c>
      <c r="G73" s="13">
        <f t="shared" si="35"/>
        <v>0</v>
      </c>
      <c r="H73" s="13">
        <f t="shared" si="35"/>
        <v>0</v>
      </c>
      <c r="I73" s="13">
        <f t="shared" si="35"/>
        <v>0</v>
      </c>
      <c r="J73" s="13">
        <f t="shared" si="35"/>
        <v>15304.00515</v>
      </c>
      <c r="K73" s="13">
        <f t="shared" si="35"/>
        <v>0</v>
      </c>
      <c r="L73" s="13">
        <f t="shared" si="35"/>
        <v>0</v>
      </c>
      <c r="M73" s="13">
        <f t="shared" si="35"/>
        <v>0</v>
      </c>
      <c r="N73" s="13">
        <f t="shared" si="35"/>
        <v>0</v>
      </c>
      <c r="O73" s="13">
        <f t="shared" si="35"/>
        <v>0</v>
      </c>
      <c r="P73" s="13">
        <f t="shared" si="35"/>
        <v>0</v>
      </c>
      <c r="Q73" s="13">
        <f t="shared" si="35"/>
        <v>0</v>
      </c>
      <c r="R73" s="13">
        <f t="shared" si="35"/>
        <v>0</v>
      </c>
      <c r="S73" s="13">
        <f t="shared" si="35"/>
        <v>0</v>
      </c>
      <c r="T73" s="13">
        <f t="shared" si="35"/>
        <v>0</v>
      </c>
      <c r="U73" s="13">
        <f t="shared" si="35"/>
        <v>0</v>
      </c>
      <c r="V73" s="13">
        <f t="shared" si="35"/>
        <v>0</v>
      </c>
      <c r="W73" s="13">
        <f t="shared" si="35"/>
        <v>0</v>
      </c>
      <c r="X73" s="13">
        <f t="shared" si="35"/>
        <v>0</v>
      </c>
      <c r="Y73" s="29">
        <f t="shared" si="35"/>
        <v>0</v>
      </c>
      <c r="Z73" s="13">
        <f t="shared" si="35"/>
        <v>0</v>
      </c>
      <c r="AA73" s="13">
        <f t="shared" si="35"/>
        <v>0</v>
      </c>
      <c r="AB73" s="13">
        <f t="shared" si="35"/>
        <v>0</v>
      </c>
      <c r="AC73" s="13">
        <f t="shared" si="35"/>
        <v>0</v>
      </c>
      <c r="AD73" s="13">
        <f t="shared" si="35"/>
        <v>0</v>
      </c>
      <c r="AE73" s="13">
        <f t="shared" si="35"/>
        <v>0</v>
      </c>
      <c r="AF73" s="13">
        <f t="shared" si="35"/>
        <v>0</v>
      </c>
      <c r="AG73" s="13">
        <f t="shared" si="35"/>
        <v>0</v>
      </c>
      <c r="AH73" s="13">
        <f t="shared" si="35"/>
        <v>0</v>
      </c>
      <c r="AI73" s="13">
        <f t="shared" si="35"/>
        <v>0</v>
      </c>
      <c r="AJ73" s="13">
        <f t="shared" si="35"/>
        <v>0</v>
      </c>
      <c r="AK73" s="13">
        <f t="shared" si="35"/>
        <v>0</v>
      </c>
      <c r="AL73" s="13">
        <f t="shared" si="35"/>
        <v>0</v>
      </c>
      <c r="AM73" s="13">
        <f t="shared" si="35"/>
        <v>0</v>
      </c>
      <c r="AN73" s="13">
        <f t="shared" si="35"/>
        <v>0</v>
      </c>
      <c r="AO73" s="13">
        <f t="shared" si="35"/>
        <v>0</v>
      </c>
      <c r="AP73" s="13">
        <f t="shared" si="35"/>
        <v>0</v>
      </c>
      <c r="AQ73" s="13">
        <f t="shared" si="35"/>
        <v>0</v>
      </c>
      <c r="AR73" s="13">
        <f t="shared" si="35"/>
        <v>0</v>
      </c>
      <c r="AS73" s="13">
        <f t="shared" si="35"/>
        <v>1551.7332</v>
      </c>
      <c r="AT73" s="13">
        <f t="shared" si="35"/>
        <v>0</v>
      </c>
      <c r="AU73" s="13">
        <f t="shared" si="35"/>
        <v>0</v>
      </c>
      <c r="AV73" s="13">
        <f t="shared" si="35"/>
        <v>0</v>
      </c>
      <c r="AW73" s="13">
        <f t="shared" si="35"/>
        <v>0</v>
      </c>
      <c r="AX73" s="13">
        <f t="shared" si="35"/>
        <v>0</v>
      </c>
      <c r="AY73" s="13">
        <f t="shared" si="35"/>
        <v>0</v>
      </c>
      <c r="AZ73" s="13">
        <f t="shared" si="35"/>
        <v>0</v>
      </c>
      <c r="BA73" s="13">
        <f t="shared" si="35"/>
        <v>0</v>
      </c>
      <c r="BB73" s="13">
        <f t="shared" si="35"/>
        <v>0</v>
      </c>
      <c r="BC73" s="13">
        <f t="shared" si="35"/>
        <v>0</v>
      </c>
      <c r="BD73" s="13">
        <f>+BD67*(BD25/100)</f>
        <v>0</v>
      </c>
      <c r="BE73" s="13">
        <f>+BE67*(BE25/100)</f>
        <v>0</v>
      </c>
      <c r="BF73" s="13">
        <f>+BF67*(BF25/100)</f>
        <v>0</v>
      </c>
      <c r="BG73" s="13">
        <f>+BG67*(BG25/100)</f>
        <v>0</v>
      </c>
      <c r="BH73" s="13">
        <f t="shared" si="35"/>
        <v>0</v>
      </c>
      <c r="BI73" s="13">
        <f t="shared" si="35"/>
        <v>0</v>
      </c>
      <c r="BJ73" s="13">
        <f t="shared" si="35"/>
        <v>0</v>
      </c>
      <c r="BK73" s="13"/>
      <c r="BL73" s="29">
        <f t="shared" si="29"/>
        <v>16855.73835</v>
      </c>
      <c r="BM73" s="29"/>
      <c r="BN73" s="29">
        <f t="shared" si="30"/>
        <v>0</v>
      </c>
      <c r="BO73" s="29">
        <f t="shared" si="31"/>
        <v>16855.73835</v>
      </c>
      <c r="BP73" s="13"/>
      <c r="BQ73" s="29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</row>
    <row r="74" spans="1:96" ht="12.75">
      <c r="A74" s="125" t="s">
        <v>229</v>
      </c>
      <c r="B74" s="230"/>
      <c r="C74" s="30">
        <f aca="true" t="shared" si="36" ref="C74:AH74">SUM(C69:C73)</f>
        <v>77003.12399999998</v>
      </c>
      <c r="D74" s="30">
        <f t="shared" si="36"/>
        <v>8820811.000000002</v>
      </c>
      <c r="E74" s="30">
        <f t="shared" si="36"/>
        <v>195539.99999999997</v>
      </c>
      <c r="F74" s="30">
        <f t="shared" si="36"/>
        <v>30385.5</v>
      </c>
      <c r="G74" s="30">
        <f t="shared" si="36"/>
        <v>2082992.9999999998</v>
      </c>
      <c r="H74" s="30">
        <f t="shared" si="36"/>
        <v>1988485.2139999997</v>
      </c>
      <c r="I74" s="30">
        <f t="shared" si="36"/>
        <v>1153871.9999999998</v>
      </c>
      <c r="J74" s="30">
        <f t="shared" si="36"/>
        <v>1457524.3000000003</v>
      </c>
      <c r="K74" s="30">
        <f t="shared" si="36"/>
        <v>485</v>
      </c>
      <c r="L74" s="30">
        <f t="shared" si="36"/>
        <v>986451.0000000001</v>
      </c>
      <c r="M74" s="30">
        <f t="shared" si="36"/>
        <v>274216</v>
      </c>
      <c r="N74" s="30">
        <f t="shared" si="36"/>
        <v>569298</v>
      </c>
      <c r="O74" s="30">
        <f t="shared" si="36"/>
        <v>16852</v>
      </c>
      <c r="P74" s="30">
        <f t="shared" si="36"/>
        <v>751</v>
      </c>
      <c r="Q74" s="30">
        <f t="shared" si="36"/>
        <v>214340</v>
      </c>
      <c r="R74" s="30">
        <f t="shared" si="36"/>
        <v>774494.9999999998</v>
      </c>
      <c r="S74" s="30">
        <f t="shared" si="36"/>
        <v>2904.261</v>
      </c>
      <c r="T74" s="30">
        <f t="shared" si="36"/>
        <v>387266.579</v>
      </c>
      <c r="U74" s="30">
        <f t="shared" si="36"/>
        <v>296791</v>
      </c>
      <c r="V74" s="30">
        <f t="shared" si="36"/>
        <v>328621</v>
      </c>
      <c r="W74" s="30">
        <f t="shared" si="36"/>
        <v>8166.000000000002</v>
      </c>
      <c r="X74" s="30">
        <f t="shared" si="36"/>
        <v>1903.4910000000002</v>
      </c>
      <c r="Y74" s="30">
        <f t="shared" si="36"/>
        <v>125330.973</v>
      </c>
      <c r="Z74" s="30">
        <f t="shared" si="36"/>
        <v>482529.00000000006</v>
      </c>
      <c r="AA74" s="30">
        <f t="shared" si="36"/>
        <v>631495</v>
      </c>
      <c r="AB74" s="30">
        <f t="shared" si="36"/>
        <v>285171.5</v>
      </c>
      <c r="AC74" s="30">
        <f t="shared" si="36"/>
        <v>574405.0000000001</v>
      </c>
      <c r="AD74" s="30">
        <f t="shared" si="36"/>
        <v>288894</v>
      </c>
      <c r="AE74" s="30">
        <f t="shared" si="36"/>
        <v>273494</v>
      </c>
      <c r="AF74" s="30">
        <f t="shared" si="36"/>
        <v>13012.999999999998</v>
      </c>
      <c r="AG74" s="30">
        <f t="shared" si="36"/>
        <v>226940.9688277</v>
      </c>
      <c r="AH74" s="30">
        <f t="shared" si="36"/>
        <v>54.567</v>
      </c>
      <c r="AI74" s="30">
        <f aca="true" t="shared" si="37" ref="AI74:BJ74">SUM(AI69:AI73)</f>
        <v>169827.738</v>
      </c>
      <c r="AJ74" s="30">
        <f t="shared" si="37"/>
        <v>16257.000000000002</v>
      </c>
      <c r="AK74" s="30">
        <f t="shared" si="37"/>
        <v>341</v>
      </c>
      <c r="AL74" s="30">
        <f t="shared" si="37"/>
        <v>0</v>
      </c>
      <c r="AM74" s="30">
        <f t="shared" si="37"/>
        <v>1144976</v>
      </c>
      <c r="AN74" s="30">
        <f t="shared" si="37"/>
        <v>81461.38</v>
      </c>
      <c r="AO74" s="30">
        <f t="shared" si="37"/>
        <v>117800</v>
      </c>
      <c r="AP74" s="30">
        <f t="shared" si="37"/>
        <v>28890</v>
      </c>
      <c r="AQ74" s="30">
        <f t="shared" si="37"/>
        <v>57058.80000000001</v>
      </c>
      <c r="AR74" s="30">
        <f t="shared" si="37"/>
        <v>92866.99999999999</v>
      </c>
      <c r="AS74" s="30">
        <f t="shared" si="37"/>
        <v>55026.00000000001</v>
      </c>
      <c r="AT74" s="30">
        <f t="shared" si="37"/>
        <v>75810.078</v>
      </c>
      <c r="AU74" s="30">
        <f t="shared" si="37"/>
        <v>45451.4544</v>
      </c>
      <c r="AV74" s="30">
        <f t="shared" si="37"/>
        <v>0</v>
      </c>
      <c r="AW74" s="30">
        <f t="shared" si="37"/>
        <v>101138.125</v>
      </c>
      <c r="AX74" s="30">
        <f t="shared" si="37"/>
        <v>78430</v>
      </c>
      <c r="AY74" s="30">
        <f t="shared" si="37"/>
        <v>152654</v>
      </c>
      <c r="AZ74" s="30">
        <f t="shared" si="37"/>
        <v>50678</v>
      </c>
      <c r="BA74" s="30">
        <f t="shared" si="37"/>
        <v>36962</v>
      </c>
      <c r="BB74" s="30">
        <f t="shared" si="37"/>
        <v>42319.75499999999</v>
      </c>
      <c r="BC74" s="30">
        <f t="shared" si="37"/>
        <v>60071.011000000006</v>
      </c>
      <c r="BD74" s="30">
        <f t="shared" si="37"/>
        <v>39357</v>
      </c>
      <c r="BE74" s="30">
        <f t="shared" si="37"/>
        <v>36849</v>
      </c>
      <c r="BF74" s="30">
        <f t="shared" si="37"/>
        <v>31094.063000000002</v>
      </c>
      <c r="BG74" s="30">
        <f t="shared" si="37"/>
        <v>24768</v>
      </c>
      <c r="BH74" s="30">
        <f t="shared" si="37"/>
        <v>133092.5</v>
      </c>
      <c r="BI74" s="30">
        <f t="shared" si="37"/>
        <v>45158.711595</v>
      </c>
      <c r="BJ74" s="30">
        <f t="shared" si="37"/>
        <v>0</v>
      </c>
      <c r="BK74" s="30"/>
      <c r="BL74" s="29">
        <f t="shared" si="29"/>
        <v>25288821.093822706</v>
      </c>
      <c r="BM74" s="29"/>
      <c r="BN74" s="29">
        <f t="shared" si="30"/>
        <v>11567190.368595002</v>
      </c>
      <c r="BO74" s="29">
        <f t="shared" si="31"/>
        <v>13721630.7252277</v>
      </c>
      <c r="BP74" s="13"/>
      <c r="BQ74" s="29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</row>
    <row r="75" spans="1:96" ht="12.75">
      <c r="A75" s="32"/>
      <c r="B75" s="20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13"/>
      <c r="BM75" s="30"/>
      <c r="BN75" s="30"/>
      <c r="BO75" s="30"/>
      <c r="BP75" s="13"/>
      <c r="BQ75" s="29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</row>
    <row r="76" spans="1:96" ht="12.75">
      <c r="A76" s="32"/>
      <c r="B76" s="204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I76" s="30"/>
      <c r="BJ76" s="30"/>
      <c r="BL76" s="30"/>
      <c r="BM76" s="30"/>
      <c r="BN76" s="13"/>
      <c r="BO76" s="13"/>
      <c r="BP76" s="30"/>
      <c r="BQ76" s="29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</row>
    <row r="77" spans="1:2" ht="12.75">
      <c r="A77" s="36" t="s">
        <v>248</v>
      </c>
      <c r="B77" s="204"/>
    </row>
    <row r="78" spans="1:67" ht="12.75">
      <c r="A78" s="29" t="e">
        <f>+'3.2 Balance Sheet'!#REF!</f>
        <v>#REF!</v>
      </c>
      <c r="B78" s="204"/>
      <c r="C78" s="13">
        <f>+'4.1. Mutual Insurance Div.'!B94</f>
        <v>23605009</v>
      </c>
      <c r="D78" s="13">
        <f>+'4.1. Mutual Insurance Div.'!C94</f>
        <v>89165303</v>
      </c>
      <c r="E78" s="13">
        <f>+'4.1. Mutual Insurance Div.'!D94</f>
        <v>56599</v>
      </c>
      <c r="F78" s="13">
        <f>+'4.1. Mutual Insurance Div.'!E94</f>
        <v>0</v>
      </c>
      <c r="G78" s="13">
        <f>+'4.1. Mutual Insurance Div.'!F94</f>
        <v>99595901</v>
      </c>
      <c r="H78" s="13">
        <f>+'4.1. Mutual Insurance Div.'!G94</f>
        <v>52010839.217</v>
      </c>
      <c r="I78" s="13">
        <f>+'4.1. Mutual Insurance Div.'!H94</f>
        <v>45943889</v>
      </c>
      <c r="J78" s="13">
        <f>+'4.1. Mutual Insurance Div.'!I94</f>
        <v>48097895</v>
      </c>
      <c r="K78" s="13">
        <f>+'4.1. Mutual Insurance Div.'!J94</f>
        <v>0</v>
      </c>
      <c r="L78" s="13">
        <f>+'4.1. Mutual Insurance Div.'!K94</f>
        <v>26168409</v>
      </c>
      <c r="M78" s="13">
        <f>+'4.1. Mutual Insurance Div.'!L94</f>
        <v>23157448.533</v>
      </c>
      <c r="N78" s="13">
        <f>+'4.1. Mutual Insurance Div.'!M94</f>
        <v>15735241</v>
      </c>
      <c r="O78" s="13">
        <f>+'4.1. Mutual Insurance Div.'!N94</f>
        <v>3515365</v>
      </c>
      <c r="P78" s="13">
        <f>+'4.1. Mutual Insurance Div.'!O94</f>
        <v>1823685</v>
      </c>
      <c r="Q78" s="13">
        <f>+'4.1. Mutual Insurance Div.'!P94</f>
        <v>18446420</v>
      </c>
      <c r="R78" s="13">
        <f>+'4.1. Mutual Insurance Div.'!Q94</f>
        <v>15323807</v>
      </c>
      <c r="S78" s="13">
        <f>+'4.1. Mutual Insurance Div.'!R94</f>
        <v>996601</v>
      </c>
      <c r="T78" s="13">
        <f>+'4.1. Mutual Insurance Div.'!S94</f>
        <v>12962658.27</v>
      </c>
      <c r="U78" s="13">
        <f>+'4.1. Mutual Insurance Div.'!T94</f>
        <v>12912200.598000001</v>
      </c>
      <c r="V78" s="13">
        <f>+'4.1. Mutual Insurance Div.'!U94</f>
        <v>12179745</v>
      </c>
      <c r="W78" s="13">
        <f>+'4.1. Mutual Insurance Div.'!V94</f>
        <v>168034</v>
      </c>
      <c r="X78" s="13">
        <f>+'4.1. Mutual Insurance Div.'!W94</f>
        <v>1744233.153</v>
      </c>
      <c r="Y78" s="29">
        <f>+'4.1. Mutual Insurance Div.'!X94</f>
        <v>11541147.641999999</v>
      </c>
      <c r="Z78" s="13">
        <f>+'4.1. Mutual Insurance Div.'!Y94</f>
        <v>11416891</v>
      </c>
      <c r="AA78" s="13">
        <f>+'4.1. Mutual Insurance Div.'!Z94</f>
        <v>11276978</v>
      </c>
      <c r="AB78" s="13">
        <f>+'4.1. Mutual Insurance Div.'!AA94</f>
        <v>11175823.600000001</v>
      </c>
      <c r="AC78" s="13">
        <f>+'4.1. Mutual Insurance Div.'!AB94</f>
        <v>10325342</v>
      </c>
      <c r="AD78" s="13">
        <f>+'4.1. Mutual Insurance Div.'!AC94</f>
        <v>7785809</v>
      </c>
      <c r="AE78" s="13">
        <f>+'4.1. Mutual Insurance Div.'!AD94</f>
        <v>7724687</v>
      </c>
      <c r="AF78" s="13">
        <f>+'4.1. Mutual Insurance Div.'!AE94</f>
        <v>1424005.7999999998</v>
      </c>
      <c r="AG78" s="13">
        <f>+'4.1. Mutual Insurance Div.'!AF94</f>
        <v>6591295.466</v>
      </c>
      <c r="AH78" s="13">
        <f>+'4.1. Mutual Insurance Div.'!AG94</f>
        <v>487782.118</v>
      </c>
      <c r="AI78" s="13">
        <f>+'4.1. Mutual Insurance Div.'!AH94</f>
        <v>5160751.6389999995</v>
      </c>
      <c r="AJ78" s="13">
        <f>+'4.1. Mutual Insurance Div.'!AI94</f>
        <v>4112833</v>
      </c>
      <c r="AK78" s="13">
        <f>+'4.1. Mutual Insurance Div.'!AJ94</f>
        <v>353807</v>
      </c>
      <c r="AL78" s="13">
        <f>+'4.1. Mutual Insurance Div.'!AK94</f>
        <v>276295</v>
      </c>
      <c r="AM78" s="13">
        <f>+'4.1. Mutual Insurance Div.'!AL94</f>
        <v>3001174</v>
      </c>
      <c r="AN78" s="13">
        <f>+'4.1. Mutual Insurance Div.'!AM94</f>
        <v>2559641</v>
      </c>
      <c r="AO78" s="13">
        <f>+'4.1. Mutual Insurance Div.'!AN94</f>
        <v>2421081</v>
      </c>
      <c r="AP78" s="13">
        <f>+'4.1. Mutual Insurance Div.'!AO94</f>
        <v>213430</v>
      </c>
      <c r="AQ78" s="13">
        <f>+'4.1. Mutual Insurance Div.'!AP94</f>
        <v>1553463.2000000002</v>
      </c>
      <c r="AR78" s="13">
        <f>+'4.1. Mutual Insurance Div.'!AQ94</f>
        <v>2105268</v>
      </c>
      <c r="AS78" s="13">
        <f>+'4.1. Mutual Insurance Div.'!AR94</f>
        <v>1966920</v>
      </c>
      <c r="AT78" s="13">
        <f>+'4.1. Mutual Insurance Div.'!AS94</f>
        <v>1374216.813</v>
      </c>
      <c r="AU78" s="13">
        <f>+'4.1. Mutual Insurance Div.'!AT94</f>
        <v>1335083</v>
      </c>
      <c r="AV78" s="13">
        <f>+'4.1. Mutual Insurance Div.'!AU94</f>
        <v>80924</v>
      </c>
      <c r="AW78" s="13">
        <f>+'4.1. Mutual Insurance Div.'!AV94</f>
        <v>1266850.21</v>
      </c>
      <c r="AX78" s="13">
        <f>+'4.1. Mutual Insurance Div.'!AW94</f>
        <v>1240011</v>
      </c>
      <c r="AY78" s="13">
        <f>+'4.1. Mutual Insurance Div.'!AX94</f>
        <v>1094190</v>
      </c>
      <c r="AZ78" s="13">
        <f>+'4.1. Mutual Insurance Div.'!AY94</f>
        <v>784125</v>
      </c>
      <c r="BA78" s="13">
        <f>+'4.1. Mutual Insurance Div.'!AZ94</f>
        <v>630025</v>
      </c>
      <c r="BB78" s="13">
        <f>+'4.1. Mutual Insurance Div.'!BA94</f>
        <v>353704.154</v>
      </c>
      <c r="BC78" s="13">
        <f>+'4.1. Mutual Insurance Div.'!BB94</f>
        <v>438043</v>
      </c>
      <c r="BD78" s="13">
        <f>+'4.1. Mutual Insurance Div.'!BC94</f>
        <v>477411</v>
      </c>
      <c r="BE78" s="13">
        <f>+'4.1. Mutual Insurance Div.'!BD94</f>
        <v>427776.20000000007</v>
      </c>
      <c r="BF78" s="13">
        <f>+'4.1. Mutual Insurance Div.'!BE94</f>
        <v>333545</v>
      </c>
      <c r="BG78" s="13">
        <f>+'4.1. Mutual Insurance Div.'!BF94</f>
        <v>186223</v>
      </c>
      <c r="BH78" s="13">
        <f>+'4.1. Mutual Insurance Div.'!BG94</f>
        <v>66051.4</v>
      </c>
      <c r="BI78" s="13">
        <f>+'4.1. Mutual Insurance Div.'!BH94</f>
        <v>19500.521</v>
      </c>
      <c r="BJ78" s="13"/>
      <c r="BK78" s="13"/>
      <c r="BL78" s="13">
        <f>+'4.1. Mutual Insurance Div.'!BK94</f>
        <v>617198772.5340002</v>
      </c>
      <c r="BM78" s="13"/>
      <c r="BN78" s="13">
        <f>+'4.1. Mutual Insurance Div.'!BM94</f>
        <v>114997066.94399999</v>
      </c>
      <c r="BO78" s="13">
        <f>+'4.1. Mutual Insurance Div.'!BN94</f>
        <v>502201705.59</v>
      </c>
    </row>
    <row r="79" spans="1:182" ht="12.75">
      <c r="A79" s="29"/>
      <c r="B79" s="20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9"/>
      <c r="O79" s="29"/>
      <c r="P79" s="13"/>
      <c r="Q79" s="13"/>
      <c r="R79" s="29"/>
      <c r="S79" s="29"/>
      <c r="T79" s="13"/>
      <c r="U79" s="13"/>
      <c r="V79" s="13"/>
      <c r="W79" s="13"/>
      <c r="X79" s="13"/>
      <c r="Y79" s="29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29"/>
      <c r="AU79" s="13"/>
      <c r="AV79" s="13"/>
      <c r="AW79" s="13"/>
      <c r="AX79" s="13"/>
      <c r="AY79" s="29"/>
      <c r="AZ79" s="13"/>
      <c r="BA79" s="13"/>
      <c r="BB79" s="13"/>
      <c r="BC79" s="13"/>
      <c r="BD79" s="13"/>
      <c r="BE79" s="13"/>
      <c r="BF79" s="13"/>
      <c r="BG79" s="13"/>
      <c r="BH79" s="13"/>
      <c r="BI79" s="29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</row>
    <row r="80" spans="1:182" ht="12.75">
      <c r="A80" s="29" t="e">
        <f>+#REF!</f>
        <v>#REF!</v>
      </c>
      <c r="B80" s="204"/>
      <c r="C80" s="13">
        <f aca="true" t="shared" si="38" ref="C80:Q80">+C78*C9/100</f>
        <v>6963477.655</v>
      </c>
      <c r="D80" s="13">
        <f t="shared" si="38"/>
        <v>20873597.4323</v>
      </c>
      <c r="E80" s="13">
        <f t="shared" si="38"/>
        <v>0</v>
      </c>
      <c r="F80" s="13">
        <f t="shared" si="38"/>
        <v>0</v>
      </c>
      <c r="G80" s="13">
        <f t="shared" si="38"/>
        <v>29181598.993</v>
      </c>
      <c r="H80" s="13">
        <f t="shared" si="38"/>
        <v>15098746.6246951</v>
      </c>
      <c r="I80" s="13">
        <f>+I78*I9/100</f>
        <v>11853523.362</v>
      </c>
      <c r="J80" s="13">
        <f t="shared" si="38"/>
        <v>11687788.485</v>
      </c>
      <c r="K80" s="13">
        <f>+K78*K9/100</f>
        <v>0</v>
      </c>
      <c r="L80" s="13">
        <f>+L78*L9/100</f>
        <v>6018734.07</v>
      </c>
      <c r="M80" s="13">
        <f>+M78*M9/100</f>
        <v>4036343.2793018995</v>
      </c>
      <c r="N80" s="13">
        <f>+N78*N9/100</f>
        <v>9249174.6598</v>
      </c>
      <c r="O80" s="29"/>
      <c r="P80" s="13">
        <f>+P78*P9/100</f>
        <v>1413355.875</v>
      </c>
      <c r="Q80" s="13">
        <f t="shared" si="38"/>
        <v>3873748.2</v>
      </c>
      <c r="R80" s="29">
        <f aca="true" t="shared" si="39" ref="R80:AE80">+R78*R9/100</f>
        <v>3585770.8379999995</v>
      </c>
      <c r="S80" s="29">
        <f t="shared" si="39"/>
        <v>233204.634</v>
      </c>
      <c r="T80" s="13">
        <f t="shared" si="39"/>
        <v>6053561.41209</v>
      </c>
      <c r="U80" s="13">
        <f>+U78*U9/100</f>
        <v>8367105.987504001</v>
      </c>
      <c r="V80" s="13">
        <f t="shared" si="39"/>
        <v>3946237.38</v>
      </c>
      <c r="W80" s="13"/>
      <c r="X80" s="13">
        <f>+X78*X9/100</f>
        <v>1533180.941487</v>
      </c>
      <c r="Y80" s="29">
        <f t="shared" si="39"/>
        <v>2786033.0407787994</v>
      </c>
      <c r="Z80" s="13">
        <f>+Z78*Z9/100</f>
        <v>6765649.6066</v>
      </c>
      <c r="AA80" s="13">
        <f t="shared" si="39"/>
        <v>6087312.7244</v>
      </c>
      <c r="AB80" s="13">
        <f t="shared" si="39"/>
        <v>3646671.2406800007</v>
      </c>
      <c r="AC80" s="13">
        <f t="shared" si="39"/>
        <v>3057333.7662</v>
      </c>
      <c r="AD80" s="13">
        <f t="shared" si="39"/>
        <v>1697306.3620000002</v>
      </c>
      <c r="AE80" s="13">
        <f t="shared" si="39"/>
        <v>4321962.3765</v>
      </c>
      <c r="AF80" s="13">
        <f aca="true" t="shared" si="40" ref="AF80:AX80">+AF78*AF9/100</f>
        <v>1101610.88688</v>
      </c>
      <c r="AG80" s="13">
        <f t="shared" si="40"/>
        <v>997922.1335524</v>
      </c>
      <c r="AH80" s="13">
        <f>+AH78*AH9/100</f>
        <v>487782.118</v>
      </c>
      <c r="AI80" s="13">
        <f t="shared" si="40"/>
        <v>2805384.5909603997</v>
      </c>
      <c r="AJ80" s="13">
        <f>+AJ78*AJ9/100</f>
        <v>1927273.5437999999</v>
      </c>
      <c r="AK80" s="13">
        <f>+AK78*AK9/100</f>
        <v>165793.9602</v>
      </c>
      <c r="AL80" s="13">
        <f>+AL78*AL9/100</f>
        <v>92448.30700000002</v>
      </c>
      <c r="AM80" s="82">
        <f t="shared" si="40"/>
        <v>252098.616</v>
      </c>
      <c r="AN80" s="82">
        <f t="shared" si="40"/>
        <v>2403502.899</v>
      </c>
      <c r="AO80" s="13">
        <f t="shared" si="40"/>
        <v>481795.119</v>
      </c>
      <c r="AP80" s="13">
        <f t="shared" si="40"/>
        <v>9177.49</v>
      </c>
      <c r="AQ80" s="13">
        <f t="shared" si="40"/>
        <v>237679.86960000003</v>
      </c>
      <c r="AR80" s="13">
        <f t="shared" si="40"/>
        <v>1321897.7772</v>
      </c>
      <c r="AS80" s="13">
        <f t="shared" si="40"/>
        <v>833777.3879999999</v>
      </c>
      <c r="AT80" s="162">
        <f t="shared" si="40"/>
        <v>667869.3711180001</v>
      </c>
      <c r="AU80" s="13">
        <f t="shared" si="40"/>
        <v>22429.3944</v>
      </c>
      <c r="AV80" s="13">
        <f>+AV78*AV9/100</f>
        <v>78172.58399999999</v>
      </c>
      <c r="AW80" s="82">
        <f t="shared" si="40"/>
        <v>181159.58002999998</v>
      </c>
      <c r="AX80" s="82">
        <f t="shared" si="40"/>
        <v>955924.4799000002</v>
      </c>
      <c r="AY80" s="162">
        <f aca="true" t="shared" si="41" ref="AY80:BH80">+AY78*AY9/100</f>
        <v>186012.3</v>
      </c>
      <c r="AZ80" s="82">
        <f t="shared" si="41"/>
        <v>454792.5</v>
      </c>
      <c r="BA80" s="13">
        <f t="shared" si="41"/>
        <v>359114.25</v>
      </c>
      <c r="BB80" s="13">
        <f t="shared" si="41"/>
        <v>4951.858155999999</v>
      </c>
      <c r="BC80" s="82">
        <f t="shared" si="41"/>
        <v>127689.5345</v>
      </c>
      <c r="BD80" s="13">
        <f t="shared" si="41"/>
        <v>397778.8452</v>
      </c>
      <c r="BE80" s="13">
        <f t="shared" si="41"/>
        <v>1283.3286</v>
      </c>
      <c r="BF80" s="82">
        <f t="shared" si="41"/>
        <v>60705.19</v>
      </c>
      <c r="BG80" s="82">
        <f t="shared" si="41"/>
        <v>51025.102</v>
      </c>
      <c r="BH80" s="82">
        <f t="shared" si="41"/>
        <v>0</v>
      </c>
      <c r="BI80" s="162">
        <f>+BI78*BI9/100</f>
        <v>0</v>
      </c>
      <c r="BJ80" s="13">
        <f>+BJ78*BJ9/100</f>
        <v>0</v>
      </c>
      <c r="BK80" s="13"/>
      <c r="BL80" s="29">
        <f>SUM(C80:BJ80)</f>
        <v>188998471.96343365</v>
      </c>
      <c r="BM80" s="29"/>
      <c r="BN80" s="29">
        <f>+D80+E80+F80+AC80+AJ80+AM80+AN80+AP80+AT80+AW80+AY80+AZ80+BC80+BF80+BG80+BH80+BI80</f>
        <v>30252237.324948005</v>
      </c>
      <c r="BO80" s="29">
        <f>+C80+SUM(G80:AB80)+AD80+AE80+AF80+AG80+AH80+AI80+AK80+AL80+AO80+AQ80+AR80+AS80+AU80+AV80+AX80+BA80+BB80+BD80+BE80+BJ80</f>
        <v>158746234.63848564</v>
      </c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</row>
    <row r="81" spans="1:182" ht="12.75">
      <c r="A81" s="29" t="e">
        <f>+#REF!</f>
        <v>#REF!</v>
      </c>
      <c r="B81" s="204"/>
      <c r="C81" s="13">
        <f aca="true" t="shared" si="42" ref="C81:Q81">+C10*C78/100</f>
        <v>8285358.159</v>
      </c>
      <c r="D81" s="13">
        <f t="shared" si="42"/>
        <v>47703437.105</v>
      </c>
      <c r="E81" s="13">
        <f t="shared" si="42"/>
        <v>0</v>
      </c>
      <c r="F81" s="13">
        <f t="shared" si="42"/>
        <v>0</v>
      </c>
      <c r="G81" s="13">
        <f t="shared" si="42"/>
        <v>35356544.855</v>
      </c>
      <c r="H81" s="13">
        <f t="shared" si="42"/>
        <v>23410078.731571697</v>
      </c>
      <c r="I81" s="13">
        <f>+I10*I78/100</f>
        <v>27060950.621</v>
      </c>
      <c r="J81" s="13">
        <f t="shared" si="42"/>
        <v>20970682.22</v>
      </c>
      <c r="K81" s="13">
        <f>+K10*K78/100</f>
        <v>0</v>
      </c>
      <c r="L81" s="13">
        <f>+L10*L78/100</f>
        <v>13607572.68</v>
      </c>
      <c r="M81" s="13">
        <f>+M10*M78/100</f>
        <v>17393559.5931363</v>
      </c>
      <c r="N81" s="13">
        <f>+N10*N78/100</f>
        <v>3121871.8144</v>
      </c>
      <c r="O81" s="29"/>
      <c r="P81" s="13">
        <f>+P10*P78/100</f>
        <v>288142.23</v>
      </c>
      <c r="Q81" s="13">
        <f t="shared" si="42"/>
        <v>7581478.62</v>
      </c>
      <c r="R81" s="29">
        <f aca="true" t="shared" si="43" ref="R81:AE81">+R10*R78/100</f>
        <v>6512617.975</v>
      </c>
      <c r="S81" s="29">
        <f t="shared" si="43"/>
        <v>423555.425</v>
      </c>
      <c r="T81" s="13">
        <f t="shared" si="43"/>
        <v>3231590.706711</v>
      </c>
      <c r="U81" s="13">
        <f>+U10*U78/100</f>
        <v>1459078.6675740003</v>
      </c>
      <c r="V81" s="13">
        <f t="shared" si="43"/>
        <v>6223849.695</v>
      </c>
      <c r="W81" s="13"/>
      <c r="X81" s="13">
        <f>+X10*X78/100</f>
        <v>101165.522874</v>
      </c>
      <c r="Y81" s="29">
        <f t="shared" si="43"/>
        <v>4526438.1051924</v>
      </c>
      <c r="Z81" s="13">
        <f>+Z10*Z78/100</f>
        <v>1745642.6338999998</v>
      </c>
      <c r="AA81" s="13">
        <f t="shared" si="43"/>
        <v>3389859.5868</v>
      </c>
      <c r="AB81" s="13">
        <f t="shared" si="43"/>
        <v>5595734.87652</v>
      </c>
      <c r="AC81" s="13">
        <f t="shared" si="43"/>
        <v>5058488.299219999</v>
      </c>
      <c r="AD81" s="13">
        <f t="shared" si="43"/>
        <v>4964231.818399999</v>
      </c>
      <c r="AE81" s="13">
        <f t="shared" si="43"/>
        <v>1283070.5107</v>
      </c>
      <c r="AF81" s="13">
        <f aca="true" t="shared" si="44" ref="AF81:AX81">+AF10*AF78/100</f>
        <v>71200.29</v>
      </c>
      <c r="AG81" s="13">
        <f t="shared" si="44"/>
        <v>3118341.8849646</v>
      </c>
      <c r="AH81" s="13">
        <f>+AH10*AH78/100</f>
        <v>0</v>
      </c>
      <c r="AI81" s="13">
        <f t="shared" si="44"/>
        <v>1319604.1940923</v>
      </c>
      <c r="AJ81" s="13">
        <f>+AJ10*AJ78/100</f>
        <v>958701.3722999999</v>
      </c>
      <c r="AK81" s="13">
        <f>+AK10*AK78/100</f>
        <v>82472.4117</v>
      </c>
      <c r="AL81" s="13">
        <f>+AL10*AL78/100</f>
        <v>0</v>
      </c>
      <c r="AM81" s="13">
        <f t="shared" si="44"/>
        <v>573224.234</v>
      </c>
      <c r="AN81" s="13">
        <f t="shared" si="44"/>
        <v>38394.615</v>
      </c>
      <c r="AO81" s="13">
        <f t="shared" si="44"/>
        <v>1428437.79</v>
      </c>
      <c r="AP81" s="13">
        <f t="shared" si="44"/>
        <v>120587.95</v>
      </c>
      <c r="AQ81" s="13">
        <f t="shared" si="44"/>
        <v>1099851.9456</v>
      </c>
      <c r="AR81" s="13">
        <f t="shared" si="44"/>
        <v>589685.5668</v>
      </c>
      <c r="AS81" s="13">
        <f t="shared" si="44"/>
        <v>313330.35599999997</v>
      </c>
      <c r="AT81" s="29">
        <f t="shared" si="44"/>
        <v>46723.371642000006</v>
      </c>
      <c r="AU81" s="13">
        <f t="shared" si="44"/>
        <v>620947.1033</v>
      </c>
      <c r="AV81" s="13">
        <f>+AV10*AV78/100</f>
        <v>0</v>
      </c>
      <c r="AW81" s="13">
        <f t="shared" si="44"/>
        <v>600486.99954</v>
      </c>
      <c r="AX81" s="13">
        <f t="shared" si="44"/>
        <v>208073.8458</v>
      </c>
      <c r="AY81" s="29">
        <f aca="true" t="shared" si="45" ref="AY81:BH81">+AY10*AY78/100</f>
        <v>634630.2</v>
      </c>
      <c r="AZ81" s="13">
        <f t="shared" si="45"/>
        <v>152120.24999999997</v>
      </c>
      <c r="BA81" s="13">
        <f t="shared" si="45"/>
        <v>173886.9</v>
      </c>
      <c r="BB81" s="13">
        <f t="shared" si="45"/>
        <v>122381.637284</v>
      </c>
      <c r="BC81" s="13">
        <f t="shared" si="45"/>
        <v>118797.2616</v>
      </c>
      <c r="BD81" s="13">
        <f t="shared" si="45"/>
        <v>60487.9737</v>
      </c>
      <c r="BE81" s="13">
        <f t="shared" si="45"/>
        <v>391842.9992</v>
      </c>
      <c r="BF81" s="13">
        <f t="shared" si="45"/>
        <v>118742.02</v>
      </c>
      <c r="BG81" s="13">
        <f t="shared" si="45"/>
        <v>81938.12</v>
      </c>
      <c r="BH81" s="13">
        <f t="shared" si="45"/>
        <v>0</v>
      </c>
      <c r="BI81" s="29">
        <f>+BI10*BI78/100</f>
        <v>0</v>
      </c>
      <c r="BJ81" s="13">
        <f>+BJ10*BJ78/100</f>
        <v>0</v>
      </c>
      <c r="BK81" s="13"/>
      <c r="BL81" s="29">
        <f aca="true" t="shared" si="46" ref="BL81:BL86">SUM(C81:BJ81)</f>
        <v>262339891.7445222</v>
      </c>
      <c r="BM81" s="29"/>
      <c r="BN81" s="29">
        <f aca="true" t="shared" si="47" ref="BN81:BN86">+D81+E81+F81+AC81+AJ81+AM81+AN81+AP81+AT81+AW81+AY81+AZ81+BC81+BF81+BG81+BH81+BI81</f>
        <v>56206271.79830201</v>
      </c>
      <c r="BO81" s="29">
        <f aca="true" t="shared" si="48" ref="BO81:BO86">+C81+SUM(G81:AB81)+AD81+AE81+AF81+AG81+AH81+AI81+AK81+AL81+AO81+AQ81+AR81+AS81+AU81+AV81+AX81+BA81+BB81+BD81+BE81+BJ81</f>
        <v>206133619.94622025</v>
      </c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</row>
    <row r="82" spans="1:182" ht="12.75">
      <c r="A82" s="29" t="e">
        <f>+#REF!</f>
        <v>#REF!</v>
      </c>
      <c r="B82" s="204"/>
      <c r="C82" s="13">
        <f aca="true" t="shared" si="49" ref="C82:Q82">+C78*C11/100</f>
        <v>118025.045</v>
      </c>
      <c r="D82" s="13">
        <f t="shared" si="49"/>
        <v>347744.6817</v>
      </c>
      <c r="E82" s="13">
        <f t="shared" si="49"/>
        <v>0</v>
      </c>
      <c r="F82" s="13">
        <f t="shared" si="49"/>
        <v>0</v>
      </c>
      <c r="G82" s="13">
        <f t="shared" si="49"/>
        <v>99595.901</v>
      </c>
      <c r="H82" s="13">
        <f t="shared" si="49"/>
        <v>244450.94431989998</v>
      </c>
      <c r="I82" s="13">
        <f>+I78*I11/100</f>
        <v>137831.667</v>
      </c>
      <c r="J82" s="13">
        <f t="shared" si="49"/>
        <v>240489.475</v>
      </c>
      <c r="K82" s="13">
        <f>+K78*K11/100</f>
        <v>0</v>
      </c>
      <c r="L82" s="13">
        <f>+L78*L11/100</f>
        <v>523368.18</v>
      </c>
      <c r="M82" s="13">
        <f>+M78*M11/100</f>
        <v>41683.4073594</v>
      </c>
      <c r="N82" s="13">
        <f>+N78*N11/100</f>
        <v>0</v>
      </c>
      <c r="O82" s="29"/>
      <c r="P82" s="13">
        <f>+P78*P11/100</f>
        <v>7294.74</v>
      </c>
      <c r="Q82" s="13">
        <f t="shared" si="49"/>
        <v>166017.78</v>
      </c>
      <c r="R82" s="29">
        <f aca="true" t="shared" si="50" ref="R82:AE82">+R78*R11/100</f>
        <v>689571.315</v>
      </c>
      <c r="S82" s="29">
        <f t="shared" si="50"/>
        <v>44847.045</v>
      </c>
      <c r="T82" s="13">
        <f t="shared" si="50"/>
        <v>263141.96288099996</v>
      </c>
      <c r="U82" s="13">
        <f>+U78*U11/100</f>
        <v>103297.60478400001</v>
      </c>
      <c r="V82" s="13">
        <f t="shared" si="50"/>
        <v>316673.37</v>
      </c>
      <c r="W82" s="13"/>
      <c r="X82" s="13">
        <f>+X78*X11/100</f>
        <v>1744.2331530000001</v>
      </c>
      <c r="Y82" s="29">
        <f t="shared" si="50"/>
        <v>24236.4100482</v>
      </c>
      <c r="Z82" s="13">
        <f>+Z78*Z11/100</f>
        <v>336798.2845</v>
      </c>
      <c r="AA82" s="13">
        <f t="shared" si="50"/>
        <v>274030.5654</v>
      </c>
      <c r="AB82" s="13">
        <f t="shared" si="50"/>
        <v>108405.48892</v>
      </c>
      <c r="AC82" s="13">
        <f t="shared" si="50"/>
        <v>51523.45658</v>
      </c>
      <c r="AD82" s="13">
        <f t="shared" si="50"/>
        <v>74743.7664</v>
      </c>
      <c r="AE82" s="13">
        <f t="shared" si="50"/>
        <v>511374.2794</v>
      </c>
      <c r="AF82" s="13">
        <f aca="true" t="shared" si="51" ref="AF82:AX82">+AF78*AF11/100</f>
        <v>1566.4063799999997</v>
      </c>
      <c r="AG82" s="13">
        <f t="shared" si="51"/>
        <v>11205.202292200001</v>
      </c>
      <c r="AH82" s="13">
        <f>+AH78*AH11/100</f>
        <v>0</v>
      </c>
      <c r="AI82" s="13">
        <f t="shared" si="51"/>
        <v>106827.55892729998</v>
      </c>
      <c r="AJ82" s="13">
        <f>+AJ78*AJ11/100</f>
        <v>95829.0089</v>
      </c>
      <c r="AK82" s="13">
        <f>+AK78*AK11/100</f>
        <v>8243.7031</v>
      </c>
      <c r="AL82" s="13">
        <f>+AL78*AL11/100</f>
        <v>183846.693</v>
      </c>
      <c r="AM82" s="13">
        <f t="shared" si="51"/>
        <v>24009.392000000003</v>
      </c>
      <c r="AN82" s="13">
        <f t="shared" si="51"/>
        <v>0</v>
      </c>
      <c r="AO82" s="13">
        <f t="shared" si="51"/>
        <v>0</v>
      </c>
      <c r="AP82" s="13">
        <f t="shared" si="51"/>
        <v>0</v>
      </c>
      <c r="AQ82" s="13">
        <f t="shared" si="51"/>
        <v>9320.7792</v>
      </c>
      <c r="AR82" s="13">
        <f t="shared" si="51"/>
        <v>36210.609599999996</v>
      </c>
      <c r="AS82" s="13">
        <f t="shared" si="51"/>
        <v>20849.352000000003</v>
      </c>
      <c r="AT82" s="29">
        <f t="shared" si="51"/>
        <v>116808.42910500002</v>
      </c>
      <c r="AU82" s="13">
        <f t="shared" si="51"/>
        <v>36581.27420000001</v>
      </c>
      <c r="AV82" s="13">
        <f>+AV78*AV11/100</f>
        <v>2751.4159999999997</v>
      </c>
      <c r="AW82" s="13">
        <f t="shared" si="51"/>
        <v>5067.40084</v>
      </c>
      <c r="AX82" s="13">
        <f t="shared" si="51"/>
        <v>0</v>
      </c>
      <c r="AY82" s="29">
        <f aca="true" t="shared" si="52" ref="AY82:BH82">+AY78*AY11/100</f>
        <v>131302.8</v>
      </c>
      <c r="AZ82" s="13">
        <f t="shared" si="52"/>
        <v>0</v>
      </c>
      <c r="BA82" s="13">
        <f t="shared" si="52"/>
        <v>0</v>
      </c>
      <c r="BB82" s="13">
        <f t="shared" si="52"/>
        <v>10257.420466</v>
      </c>
      <c r="BC82" s="13">
        <f t="shared" si="52"/>
        <v>6921.0794000000005</v>
      </c>
      <c r="BD82" s="13">
        <f t="shared" si="52"/>
        <v>0</v>
      </c>
      <c r="BE82" s="13">
        <f t="shared" si="52"/>
        <v>0</v>
      </c>
      <c r="BF82" s="13">
        <f t="shared" si="52"/>
        <v>0</v>
      </c>
      <c r="BG82" s="13">
        <f t="shared" si="52"/>
        <v>1489.7839999999999</v>
      </c>
      <c r="BH82" s="13">
        <f t="shared" si="52"/>
        <v>0</v>
      </c>
      <c r="BI82" s="29">
        <f>+BI78*BI11/100</f>
        <v>8533.4279896</v>
      </c>
      <c r="BJ82" s="13">
        <f>+BJ78*BJ11/100</f>
        <v>0</v>
      </c>
      <c r="BK82" s="13"/>
      <c r="BL82" s="29">
        <f t="shared" si="46"/>
        <v>5544511.3408456</v>
      </c>
      <c r="BM82" s="29"/>
      <c r="BN82" s="29">
        <f t="shared" si="47"/>
        <v>789229.4605146</v>
      </c>
      <c r="BO82" s="29">
        <f t="shared" si="48"/>
        <v>4755281.880331</v>
      </c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</row>
    <row r="83" spans="1:182" ht="12.75">
      <c r="A83" s="29" t="e">
        <f>+#REF!</f>
        <v>#REF!</v>
      </c>
      <c r="B83" s="204"/>
      <c r="C83" s="13">
        <f aca="true" t="shared" si="53" ref="C83:Q83">+C78*C12/100</f>
        <v>1463510.5580000002</v>
      </c>
      <c r="D83" s="13">
        <f t="shared" si="53"/>
        <v>2853289.6960000005</v>
      </c>
      <c r="E83" s="13">
        <f t="shared" si="53"/>
        <v>0</v>
      </c>
      <c r="F83" s="13">
        <f t="shared" si="53"/>
        <v>0</v>
      </c>
      <c r="G83" s="13">
        <f t="shared" si="53"/>
        <v>14541001.545999998</v>
      </c>
      <c r="H83" s="13">
        <f t="shared" si="53"/>
        <v>4056845.458926</v>
      </c>
      <c r="I83" s="13">
        <f>+I78*I12/100</f>
        <v>2940408.896</v>
      </c>
      <c r="J83" s="13">
        <f t="shared" si="53"/>
        <v>4521202.13</v>
      </c>
      <c r="K83" s="13">
        <f>+K78*K12/100</f>
        <v>0</v>
      </c>
      <c r="L83" s="13">
        <f>+L78*L12/100</f>
        <v>1831788.63</v>
      </c>
      <c r="M83" s="13">
        <f>+M78*M12/100</f>
        <v>622935.3655377</v>
      </c>
      <c r="N83" s="13">
        <f>+N78*N12/100</f>
        <v>1925993.4984</v>
      </c>
      <c r="O83" s="29"/>
      <c r="P83" s="13">
        <f>+P78*P12/100</f>
        <v>114892.155</v>
      </c>
      <c r="Q83" s="13">
        <f t="shared" si="53"/>
        <v>885428.16</v>
      </c>
      <c r="R83" s="29">
        <f aca="true" t="shared" si="54" ref="R83:AE83">+R78*R12/100</f>
        <v>597628.473</v>
      </c>
      <c r="S83" s="29">
        <f t="shared" si="54"/>
        <v>38867.439</v>
      </c>
      <c r="T83" s="13">
        <f t="shared" si="54"/>
        <v>1116084.877047</v>
      </c>
      <c r="U83" s="13">
        <f>+U78*U12/100</f>
        <v>632697.8293020001</v>
      </c>
      <c r="V83" s="13">
        <f t="shared" si="54"/>
        <v>1108356.795</v>
      </c>
      <c r="W83" s="13"/>
      <c r="X83" s="13">
        <f>+X78*X12/100</f>
        <v>38373.129366</v>
      </c>
      <c r="Y83" s="29">
        <f t="shared" si="54"/>
        <v>388936.6755354</v>
      </c>
      <c r="Z83" s="13">
        <f>+Z78*Z12/100</f>
        <v>798040.6809</v>
      </c>
      <c r="AA83" s="13">
        <f t="shared" si="54"/>
        <v>0</v>
      </c>
      <c r="AB83" s="13">
        <f t="shared" si="54"/>
        <v>573319.75068</v>
      </c>
      <c r="AC83" s="13">
        <f t="shared" si="54"/>
        <v>619520.52</v>
      </c>
      <c r="AD83" s="13">
        <f t="shared" si="54"/>
        <v>996583.552</v>
      </c>
      <c r="AE83" s="13">
        <f t="shared" si="54"/>
        <v>300490.3243</v>
      </c>
      <c r="AF83" s="13">
        <f aca="true" t="shared" si="55" ref="AF83:AX83">+AF78*AF12/100</f>
        <v>65931.46853999999</v>
      </c>
      <c r="AG83" s="13">
        <f t="shared" si="55"/>
        <v>1980684.287533</v>
      </c>
      <c r="AH83" s="13">
        <f>+AH78*AH12/100</f>
        <v>0</v>
      </c>
      <c r="AI83" s="13">
        <f t="shared" si="55"/>
        <v>398926.10169469996</v>
      </c>
      <c r="AJ83" s="13">
        <f>+AJ78*AJ12/100</f>
        <v>102820.825</v>
      </c>
      <c r="AK83" s="13">
        <f>+AK78*AK12/100</f>
        <v>8845.175</v>
      </c>
      <c r="AL83" s="13">
        <f>+AL78*AL12/100</f>
        <v>0</v>
      </c>
      <c r="AM83" s="13">
        <f t="shared" si="55"/>
        <v>0</v>
      </c>
      <c r="AN83" s="13">
        <f t="shared" si="55"/>
        <v>117743.48599999999</v>
      </c>
      <c r="AO83" s="13">
        <f t="shared" si="55"/>
        <v>409162.689</v>
      </c>
      <c r="AP83" s="13">
        <f t="shared" si="55"/>
        <v>73846.78</v>
      </c>
      <c r="AQ83" s="13">
        <f t="shared" si="55"/>
        <v>203503.6792</v>
      </c>
      <c r="AR83" s="13">
        <f t="shared" si="55"/>
        <v>77263.33559999999</v>
      </c>
      <c r="AS83" s="13">
        <f t="shared" si="55"/>
        <v>291890.928</v>
      </c>
      <c r="AT83" s="29">
        <f t="shared" si="55"/>
        <v>100317.827349</v>
      </c>
      <c r="AU83" s="13">
        <f t="shared" si="55"/>
        <v>153000.5118</v>
      </c>
      <c r="AV83" s="13">
        <f>+AV78*AV12/100</f>
        <v>0</v>
      </c>
      <c r="AW83" s="13">
        <f t="shared" si="55"/>
        <v>88679.51469999999</v>
      </c>
      <c r="AX83" s="13">
        <f t="shared" si="55"/>
        <v>31744.281600000002</v>
      </c>
      <c r="AY83" s="29">
        <f aca="true" t="shared" si="56" ref="AY83:BH83">+AY78*AY12/100</f>
        <v>142244.7</v>
      </c>
      <c r="AZ83" s="13">
        <f t="shared" si="56"/>
        <v>80764.87500000001</v>
      </c>
      <c r="BA83" s="13">
        <f t="shared" si="56"/>
        <v>97023.85</v>
      </c>
      <c r="BB83" s="13">
        <f t="shared" si="56"/>
        <v>164826.13576399998</v>
      </c>
      <c r="BC83" s="13">
        <f t="shared" si="56"/>
        <v>81782.6281</v>
      </c>
      <c r="BD83" s="13">
        <f t="shared" si="56"/>
        <v>19144.181099999998</v>
      </c>
      <c r="BE83" s="13">
        <f t="shared" si="56"/>
        <v>0</v>
      </c>
      <c r="BF83" s="13">
        <f t="shared" si="56"/>
        <v>98062.23</v>
      </c>
      <c r="BG83" s="13">
        <f t="shared" si="56"/>
        <v>14711.617</v>
      </c>
      <c r="BH83" s="13">
        <f t="shared" si="56"/>
        <v>18560.4434</v>
      </c>
      <c r="BI83" s="29">
        <f>+BI78*BI12/100</f>
        <v>4830.279051699999</v>
      </c>
      <c r="BJ83" s="13">
        <f>+BJ78*BJ12/100</f>
        <v>0</v>
      </c>
      <c r="BK83" s="13"/>
      <c r="BL83" s="29">
        <f t="shared" si="46"/>
        <v>47792507.97042653</v>
      </c>
      <c r="BM83" s="29"/>
      <c r="BN83" s="29">
        <f t="shared" si="47"/>
        <v>4397175.421600701</v>
      </c>
      <c r="BO83" s="29">
        <f t="shared" si="48"/>
        <v>43395332.548825815</v>
      </c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</row>
    <row r="84" spans="1:182" ht="12.75">
      <c r="A84" s="29" t="e">
        <f>+#REF!</f>
        <v>#REF!</v>
      </c>
      <c r="B84" s="204"/>
      <c r="C84" s="13">
        <f aca="true" t="shared" si="57" ref="C84:Q84">+C78*C13/100</f>
        <v>6774637.583</v>
      </c>
      <c r="D84" s="13">
        <f t="shared" si="57"/>
        <v>17387234.085</v>
      </c>
      <c r="E84" s="13">
        <f t="shared" si="57"/>
        <v>56599</v>
      </c>
      <c r="F84" s="13">
        <f t="shared" si="57"/>
        <v>0</v>
      </c>
      <c r="G84" s="13">
        <f t="shared" si="57"/>
        <v>20417159.705</v>
      </c>
      <c r="H84" s="13">
        <f t="shared" si="57"/>
        <v>8899054.5900287</v>
      </c>
      <c r="I84" s="13">
        <f>+I78*I13/100</f>
        <v>3951174.454</v>
      </c>
      <c r="J84" s="13">
        <f t="shared" si="57"/>
        <v>10677732.69</v>
      </c>
      <c r="K84" s="13">
        <f>+K78*K13/100</f>
        <v>0</v>
      </c>
      <c r="L84" s="13">
        <f>+L78*L13/100</f>
        <v>1308420.45</v>
      </c>
      <c r="M84" s="13">
        <f>+M78*M13/100</f>
        <v>1062926.8876647</v>
      </c>
      <c r="N84" s="13">
        <f>+N78*N13/100</f>
        <v>1438201.0274</v>
      </c>
      <c r="O84" s="29"/>
      <c r="P84" s="13">
        <f>+P78*P13/100</f>
        <v>0</v>
      </c>
      <c r="Q84" s="13">
        <f t="shared" si="57"/>
        <v>5810622.3</v>
      </c>
      <c r="R84" s="29">
        <f aca="true" t="shared" si="58" ref="R84:AE84">+R78*R13/100</f>
        <v>3708361.2939999998</v>
      </c>
      <c r="S84" s="29">
        <f t="shared" si="58"/>
        <v>241177.44199999998</v>
      </c>
      <c r="T84" s="13">
        <f t="shared" si="58"/>
        <v>1384411.9032359999</v>
      </c>
      <c r="U84" s="13">
        <f>+U78*U13/100</f>
        <v>2350020.508836</v>
      </c>
      <c r="V84" s="13">
        <f t="shared" si="58"/>
        <v>584627.76</v>
      </c>
      <c r="W84" s="13"/>
      <c r="X84" s="13">
        <f>+X78*X13/100</f>
        <v>68025.092967</v>
      </c>
      <c r="Y84" s="29">
        <f t="shared" si="58"/>
        <v>3562752.2770853997</v>
      </c>
      <c r="Z84" s="13">
        <f>+Z78*Z13/100</f>
        <v>1159956.1256</v>
      </c>
      <c r="AA84" s="13">
        <f t="shared" si="58"/>
        <v>699172.636</v>
      </c>
      <c r="AB84" s="13">
        <f t="shared" si="58"/>
        <v>1117.58236</v>
      </c>
      <c r="AC84" s="13">
        <f t="shared" si="58"/>
        <v>1538475.958</v>
      </c>
      <c r="AD84" s="13">
        <f t="shared" si="58"/>
        <v>18685.9416</v>
      </c>
      <c r="AE84" s="13">
        <f t="shared" si="58"/>
        <v>1307789.5091</v>
      </c>
      <c r="AF84" s="13">
        <f aca="true" t="shared" si="59" ref="AF84:AX84">+AF78*AF13/100</f>
        <v>183696.74819999997</v>
      </c>
      <c r="AG84" s="13">
        <f t="shared" si="59"/>
        <v>483141.9576578</v>
      </c>
      <c r="AH84" s="13">
        <f>+AH78*AH13/100</f>
        <v>0</v>
      </c>
      <c r="AI84" s="13">
        <f t="shared" si="59"/>
        <v>304484.346701</v>
      </c>
      <c r="AJ84" s="13">
        <f>+AJ78*AJ13/100</f>
        <v>814340.934</v>
      </c>
      <c r="AK84" s="13">
        <f>+AK78*AK13/100</f>
        <v>70053.78600000001</v>
      </c>
      <c r="AL84" s="13">
        <f>+AL78*AL13/100</f>
        <v>0</v>
      </c>
      <c r="AM84" s="13">
        <f t="shared" si="59"/>
        <v>2151841.758</v>
      </c>
      <c r="AN84" s="13">
        <f t="shared" si="59"/>
        <v>0</v>
      </c>
      <c r="AO84" s="13">
        <f t="shared" si="59"/>
        <v>101685.40200000002</v>
      </c>
      <c r="AP84" s="13">
        <f t="shared" si="59"/>
        <v>9817.779999999999</v>
      </c>
      <c r="AQ84" s="13">
        <f t="shared" si="59"/>
        <v>3106.9264000000007</v>
      </c>
      <c r="AR84" s="13">
        <f t="shared" si="59"/>
        <v>61263.2988</v>
      </c>
      <c r="AS84" s="13">
        <f t="shared" si="59"/>
        <v>60384.443999999996</v>
      </c>
      <c r="AT84" s="29">
        <f t="shared" si="59"/>
        <v>442497.8137860001</v>
      </c>
      <c r="AU84" s="13">
        <f t="shared" si="59"/>
        <v>102133.84950000001</v>
      </c>
      <c r="AV84" s="13">
        <f>+AV78*AV13/100</f>
        <v>0</v>
      </c>
      <c r="AW84" s="13">
        <f t="shared" si="59"/>
        <v>371187.11153</v>
      </c>
      <c r="AX84" s="13">
        <f t="shared" si="59"/>
        <v>44268.3927</v>
      </c>
      <c r="AY84" s="29">
        <f aca="true" t="shared" si="60" ref="AY84:BH84">+AY78*AY13/100</f>
        <v>0</v>
      </c>
      <c r="AZ84" s="13">
        <f t="shared" si="60"/>
        <v>96447.375</v>
      </c>
      <c r="BA84" s="13">
        <f t="shared" si="60"/>
        <v>0</v>
      </c>
      <c r="BB84" s="13">
        <f t="shared" si="60"/>
        <v>51287.10233</v>
      </c>
      <c r="BC84" s="13">
        <f t="shared" si="60"/>
        <v>102852.4964</v>
      </c>
      <c r="BD84" s="13">
        <f t="shared" si="60"/>
        <v>0</v>
      </c>
      <c r="BE84" s="13">
        <f t="shared" si="60"/>
        <v>34649.872200000005</v>
      </c>
      <c r="BF84" s="13">
        <f t="shared" si="60"/>
        <v>10673.44</v>
      </c>
      <c r="BG84" s="13">
        <f t="shared" si="60"/>
        <v>7448.92</v>
      </c>
      <c r="BH84" s="13">
        <f t="shared" si="60"/>
        <v>47490.956600000005</v>
      </c>
      <c r="BI84" s="29">
        <f>+BI78*BI13/100</f>
        <v>6136.8139587000005</v>
      </c>
      <c r="BJ84" s="13">
        <f>+BJ78*BJ13/100</f>
        <v>0</v>
      </c>
      <c r="BK84" s="13"/>
      <c r="BL84" s="29">
        <f t="shared" si="46"/>
        <v>99969228.32864133</v>
      </c>
      <c r="BM84" s="29"/>
      <c r="BN84" s="29">
        <f t="shared" si="47"/>
        <v>23043044.442274705</v>
      </c>
      <c r="BO84" s="29">
        <f t="shared" si="48"/>
        <v>76926183.88636662</v>
      </c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</row>
    <row r="85" spans="1:182" ht="12.75">
      <c r="A85" s="29" t="e">
        <f>+#REF!</f>
        <v>#REF!</v>
      </c>
      <c r="B85" s="204"/>
      <c r="C85" s="13">
        <f>+C78*C25/100</f>
        <v>0</v>
      </c>
      <c r="D85" s="13">
        <f>+D78*D25/100</f>
        <v>0</v>
      </c>
      <c r="E85" s="13">
        <f>+E78*E25/100</f>
        <v>0</v>
      </c>
      <c r="F85" s="13">
        <f>+F78*F25/100</f>
        <v>0</v>
      </c>
      <c r="G85" s="13">
        <f aca="true" t="shared" si="61" ref="G85:T85">+G78*G14/100</f>
        <v>0</v>
      </c>
      <c r="H85" s="13">
        <f t="shared" si="61"/>
        <v>301662.86745859997</v>
      </c>
      <c r="I85" s="13">
        <f>+I78*I14/100</f>
        <v>0</v>
      </c>
      <c r="J85" s="13">
        <f t="shared" si="61"/>
        <v>0</v>
      </c>
      <c r="K85" s="13">
        <f>+K78*K14/100</f>
        <v>0</v>
      </c>
      <c r="L85" s="13">
        <f>+L78*L14/100</f>
        <v>2878524.99</v>
      </c>
      <c r="M85" s="13">
        <f>+M78*M14/100</f>
        <v>0</v>
      </c>
      <c r="N85" s="13">
        <f>+N78*N14/100</f>
        <v>0</v>
      </c>
      <c r="O85" s="29"/>
      <c r="P85" s="13">
        <f>+P78*P14/100</f>
        <v>0</v>
      </c>
      <c r="Q85" s="13">
        <f t="shared" si="61"/>
        <v>129124.94</v>
      </c>
      <c r="R85" s="29">
        <f t="shared" si="61"/>
        <v>229857.105</v>
      </c>
      <c r="S85" s="29">
        <f t="shared" si="61"/>
        <v>14949.015</v>
      </c>
      <c r="T85" s="13">
        <f t="shared" si="61"/>
        <v>913867.408035</v>
      </c>
      <c r="U85" s="13">
        <f>+U78*U14/100</f>
        <v>0</v>
      </c>
      <c r="V85" s="13">
        <f aca="true" t="shared" si="62" ref="V85:AI85">+V78*V14/100</f>
        <v>0</v>
      </c>
      <c r="W85" s="13"/>
      <c r="X85" s="13">
        <f>+X78*X14/100</f>
        <v>1744.2331530000001</v>
      </c>
      <c r="Y85" s="29">
        <f t="shared" si="62"/>
        <v>252751.13335979998</v>
      </c>
      <c r="Z85" s="13">
        <f>+Z78*Z14/100</f>
        <v>610803.6684999999</v>
      </c>
      <c r="AA85" s="13">
        <f t="shared" si="62"/>
        <v>826602.4874</v>
      </c>
      <c r="AB85" s="13">
        <f t="shared" si="62"/>
        <v>1250574.66084</v>
      </c>
      <c r="AC85" s="13">
        <f t="shared" si="62"/>
        <v>0</v>
      </c>
      <c r="AD85" s="13">
        <f t="shared" si="62"/>
        <v>34257.5596</v>
      </c>
      <c r="AE85" s="13">
        <f t="shared" si="62"/>
        <v>0</v>
      </c>
      <c r="AF85" s="13">
        <f t="shared" si="62"/>
        <v>0</v>
      </c>
      <c r="AG85" s="13">
        <f t="shared" si="62"/>
        <v>0</v>
      </c>
      <c r="AH85" s="13">
        <f>+AH78*AH14/100</f>
        <v>0</v>
      </c>
      <c r="AI85" s="13">
        <f t="shared" si="62"/>
        <v>225524.8466243</v>
      </c>
      <c r="AJ85" s="13">
        <f>+AJ78*AJ14/100</f>
        <v>213867.31600000002</v>
      </c>
      <c r="AK85" s="13">
        <f>+AK78*AK14/100</f>
        <v>18397.964</v>
      </c>
      <c r="AL85" s="13">
        <f>+AL78*AL14/100</f>
        <v>0</v>
      </c>
      <c r="AM85" s="13">
        <f aca="true" t="shared" si="63" ref="AM85:AX85">+AM78*AM14/100</f>
        <v>0</v>
      </c>
      <c r="AN85" s="13">
        <f t="shared" si="63"/>
        <v>0</v>
      </c>
      <c r="AO85" s="13">
        <f t="shared" si="63"/>
        <v>0</v>
      </c>
      <c r="AP85" s="13">
        <f t="shared" si="63"/>
        <v>0</v>
      </c>
      <c r="AQ85" s="13">
        <f t="shared" si="63"/>
        <v>0</v>
      </c>
      <c r="AR85" s="13">
        <f t="shared" si="63"/>
        <v>18947.412</v>
      </c>
      <c r="AS85" s="13">
        <f t="shared" si="63"/>
        <v>446687.532</v>
      </c>
      <c r="AT85" s="29">
        <f t="shared" si="63"/>
        <v>0</v>
      </c>
      <c r="AU85" s="13">
        <f t="shared" si="63"/>
        <v>399990.8668</v>
      </c>
      <c r="AV85" s="13">
        <f>+AV78*AV14/100</f>
        <v>0</v>
      </c>
      <c r="AW85" s="13">
        <f t="shared" si="63"/>
        <v>20269.60336</v>
      </c>
      <c r="AX85" s="13">
        <f t="shared" si="63"/>
        <v>0</v>
      </c>
      <c r="AY85" s="29">
        <f aca="true" t="shared" si="64" ref="AY85:BH85">+AY78*AY14/100</f>
        <v>0</v>
      </c>
      <c r="AZ85" s="13">
        <f t="shared" si="64"/>
        <v>0</v>
      </c>
      <c r="BA85" s="13">
        <f t="shared" si="64"/>
        <v>0</v>
      </c>
      <c r="BB85" s="13">
        <f t="shared" si="64"/>
        <v>0</v>
      </c>
      <c r="BC85" s="13">
        <f t="shared" si="64"/>
        <v>0</v>
      </c>
      <c r="BD85" s="13">
        <f t="shared" si="64"/>
        <v>0</v>
      </c>
      <c r="BE85" s="13">
        <f t="shared" si="64"/>
        <v>0</v>
      </c>
      <c r="BF85" s="13">
        <f t="shared" si="64"/>
        <v>45362.12</v>
      </c>
      <c r="BG85" s="13">
        <f t="shared" si="64"/>
        <v>29609.457000000002</v>
      </c>
      <c r="BH85" s="13">
        <f t="shared" si="64"/>
        <v>0</v>
      </c>
      <c r="BI85" s="29">
        <f>+BI78*BI14/100</f>
        <v>0</v>
      </c>
      <c r="BJ85" s="13">
        <f>+BJ78*BJ14/100</f>
        <v>0</v>
      </c>
      <c r="BK85" s="13"/>
      <c r="BL85" s="29">
        <f t="shared" si="46"/>
        <v>8863377.186130697</v>
      </c>
      <c r="BM85" s="29"/>
      <c r="BN85" s="29">
        <f t="shared" si="47"/>
        <v>309108.49636000005</v>
      </c>
      <c r="BO85" s="29">
        <f t="shared" si="48"/>
        <v>8554268.689770699</v>
      </c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</row>
    <row r="86" spans="1:68" ht="12.75">
      <c r="A86" s="29" t="e">
        <f>+#REF!</f>
        <v>#REF!</v>
      </c>
      <c r="B86" s="204"/>
      <c r="C86" s="13">
        <f aca="true" t="shared" si="65" ref="C86:Q86">SUM(C80:C85)</f>
        <v>23605009</v>
      </c>
      <c r="D86" s="13">
        <f t="shared" si="65"/>
        <v>89165303</v>
      </c>
      <c r="E86" s="13">
        <f t="shared" si="65"/>
        <v>56599</v>
      </c>
      <c r="F86" s="13">
        <f t="shared" si="65"/>
        <v>0</v>
      </c>
      <c r="G86" s="13">
        <f t="shared" si="65"/>
        <v>99595901</v>
      </c>
      <c r="H86" s="13">
        <f t="shared" si="65"/>
        <v>52010839.21699999</v>
      </c>
      <c r="I86" s="13">
        <f>SUM(I80:I85)</f>
        <v>45943889</v>
      </c>
      <c r="J86" s="13">
        <f t="shared" si="65"/>
        <v>48097895</v>
      </c>
      <c r="K86" s="13">
        <f>SUM(K80:K85)</f>
        <v>0</v>
      </c>
      <c r="L86" s="13">
        <f>SUM(L80:L85)</f>
        <v>26168409</v>
      </c>
      <c r="M86" s="13">
        <f>SUM(M80:M85)</f>
        <v>23157448.533</v>
      </c>
      <c r="N86" s="13">
        <f>SUM(N80:N85)</f>
        <v>15735241.000000002</v>
      </c>
      <c r="O86" s="29"/>
      <c r="P86" s="13">
        <f>SUM(P80:P85)</f>
        <v>1823685</v>
      </c>
      <c r="Q86" s="13">
        <f t="shared" si="65"/>
        <v>18446420</v>
      </c>
      <c r="R86" s="29">
        <f aca="true" t="shared" si="66" ref="R86:AE86">SUM(R80:R85)</f>
        <v>15323806.999999998</v>
      </c>
      <c r="S86" s="29">
        <f t="shared" si="66"/>
        <v>996601.0000000001</v>
      </c>
      <c r="T86" s="13">
        <f t="shared" si="66"/>
        <v>12962658.270000001</v>
      </c>
      <c r="U86" s="13">
        <f>SUM(U80:U85)</f>
        <v>12912200.598000001</v>
      </c>
      <c r="V86" s="13">
        <f t="shared" si="66"/>
        <v>12179744.999999998</v>
      </c>
      <c r="W86" s="13"/>
      <c r="X86" s="13">
        <f>SUM(X80:X85)</f>
        <v>1744233.1530000002</v>
      </c>
      <c r="Y86" s="29">
        <f t="shared" si="66"/>
        <v>11541147.641999999</v>
      </c>
      <c r="Z86" s="13">
        <f>SUM(Z80:Z85)</f>
        <v>11416890.999999998</v>
      </c>
      <c r="AA86" s="13">
        <f t="shared" si="66"/>
        <v>11276978</v>
      </c>
      <c r="AB86" s="13">
        <f t="shared" si="66"/>
        <v>11175823.600000001</v>
      </c>
      <c r="AC86" s="13">
        <f t="shared" si="66"/>
        <v>10325342</v>
      </c>
      <c r="AD86" s="13">
        <f t="shared" si="66"/>
        <v>7785808.999999999</v>
      </c>
      <c r="AE86" s="13">
        <f t="shared" si="66"/>
        <v>7724687</v>
      </c>
      <c r="AF86" s="13">
        <f aca="true" t="shared" si="67" ref="AF86:AX86">SUM(AF80:AF85)</f>
        <v>1424005.8</v>
      </c>
      <c r="AG86" s="13">
        <f t="shared" si="67"/>
        <v>6591295.466000001</v>
      </c>
      <c r="AH86" s="13">
        <f>SUM(AH80:AH85)</f>
        <v>487782.118</v>
      </c>
      <c r="AI86" s="13">
        <f t="shared" si="67"/>
        <v>5160751.639</v>
      </c>
      <c r="AJ86" s="13">
        <f>SUM(AJ80:AJ85)</f>
        <v>4112833</v>
      </c>
      <c r="AK86" s="13">
        <f>SUM(AK80:AK85)</f>
        <v>353807</v>
      </c>
      <c r="AL86" s="13">
        <f>SUM(AL80:AL85)</f>
        <v>276295</v>
      </c>
      <c r="AM86" s="13">
        <f t="shared" si="67"/>
        <v>3001174</v>
      </c>
      <c r="AN86" s="13">
        <f t="shared" si="67"/>
        <v>2559641.0000000005</v>
      </c>
      <c r="AO86" s="13">
        <f t="shared" si="67"/>
        <v>2421081.0000000005</v>
      </c>
      <c r="AP86" s="13">
        <f t="shared" si="67"/>
        <v>213430</v>
      </c>
      <c r="AQ86" s="13">
        <f t="shared" si="67"/>
        <v>1553463.2</v>
      </c>
      <c r="AR86" s="13">
        <f t="shared" si="67"/>
        <v>2105268</v>
      </c>
      <c r="AS86" s="13">
        <f t="shared" si="67"/>
        <v>1966920</v>
      </c>
      <c r="AT86" s="29">
        <f t="shared" si="67"/>
        <v>1374216.8130000003</v>
      </c>
      <c r="AU86" s="13">
        <f t="shared" si="67"/>
        <v>1335083</v>
      </c>
      <c r="AV86" s="13">
        <f>SUM(AV80:AV85)</f>
        <v>80923.99999999999</v>
      </c>
      <c r="AW86" s="13">
        <f t="shared" si="67"/>
        <v>1266850.21</v>
      </c>
      <c r="AX86" s="13">
        <f t="shared" si="67"/>
        <v>1240011.0000000002</v>
      </c>
      <c r="AY86" s="29">
        <f aca="true" t="shared" si="68" ref="AY86:BH86">SUM(AY80:AY85)</f>
        <v>1094190</v>
      </c>
      <c r="AZ86" s="13">
        <f t="shared" si="68"/>
        <v>784125</v>
      </c>
      <c r="BA86" s="13">
        <f t="shared" si="68"/>
        <v>630025</v>
      </c>
      <c r="BB86" s="13">
        <f t="shared" si="68"/>
        <v>353704.154</v>
      </c>
      <c r="BC86" s="13">
        <f t="shared" si="68"/>
        <v>438042.99999999994</v>
      </c>
      <c r="BD86" s="13">
        <f t="shared" si="68"/>
        <v>477410.99999999994</v>
      </c>
      <c r="BE86" s="13">
        <f t="shared" si="68"/>
        <v>427776.2</v>
      </c>
      <c r="BF86" s="13">
        <f t="shared" si="68"/>
        <v>333545</v>
      </c>
      <c r="BG86" s="13">
        <f t="shared" si="68"/>
        <v>186223.00000000003</v>
      </c>
      <c r="BH86" s="13">
        <f t="shared" si="68"/>
        <v>66051.40000000001</v>
      </c>
      <c r="BI86" s="29">
        <f>SUM(BI80:BI85)</f>
        <v>19500.521</v>
      </c>
      <c r="BJ86" s="13">
        <f>SUM(BJ80:BJ85)</f>
        <v>0</v>
      </c>
      <c r="BK86" s="13"/>
      <c r="BL86" s="29">
        <f t="shared" si="46"/>
        <v>613507988.5340002</v>
      </c>
      <c r="BM86" s="29"/>
      <c r="BN86" s="29">
        <f t="shared" si="47"/>
        <v>114997066.94399999</v>
      </c>
      <c r="BO86" s="29">
        <f t="shared" si="48"/>
        <v>498510921.59</v>
      </c>
      <c r="BP86" s="13"/>
    </row>
    <row r="87" spans="1:67" ht="12.75">
      <c r="A87" s="93"/>
      <c r="C87" s="13"/>
      <c r="D87" s="29"/>
      <c r="E87" s="13"/>
      <c r="F87" s="13"/>
      <c r="G87" s="13"/>
      <c r="H87" s="13"/>
      <c r="I87" s="13"/>
      <c r="J87" s="13"/>
      <c r="K87" s="29"/>
      <c r="L87" s="29"/>
      <c r="M87" s="29"/>
      <c r="N87" s="29"/>
      <c r="O87" s="29"/>
      <c r="P87" s="13"/>
      <c r="Q87" s="13"/>
      <c r="R87" s="29"/>
      <c r="S87" s="29"/>
      <c r="T87" s="29"/>
      <c r="U87" s="13"/>
      <c r="V87" s="13"/>
      <c r="W87" s="13"/>
      <c r="X87" s="13"/>
      <c r="Y87" s="29"/>
      <c r="Z87" s="29"/>
      <c r="AA87" s="29"/>
      <c r="AB87" s="13"/>
      <c r="AC87" s="13"/>
      <c r="AD87" s="29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29"/>
      <c r="AU87" s="13"/>
      <c r="AV87" s="13"/>
      <c r="AW87" s="13"/>
      <c r="AX87" s="13"/>
      <c r="AY87" s="29"/>
      <c r="AZ87" s="13"/>
      <c r="BA87" s="13"/>
      <c r="BB87" s="13"/>
      <c r="BC87" s="13"/>
      <c r="BD87" s="13"/>
      <c r="BE87" s="13"/>
      <c r="BF87" s="13"/>
      <c r="BG87" s="13"/>
      <c r="BH87" s="13"/>
      <c r="BI87" s="29"/>
      <c r="BJ87" s="29"/>
      <c r="BK87" s="96"/>
      <c r="BL87" s="29"/>
      <c r="BM87" s="29"/>
      <c r="BN87" s="29"/>
      <c r="BO87" s="29"/>
    </row>
    <row r="88" spans="1:67" ht="12.75">
      <c r="A88" s="93"/>
      <c r="C88" s="96"/>
      <c r="D88" s="96"/>
      <c r="E88" s="96"/>
      <c r="F88" s="96"/>
      <c r="G88" s="96"/>
      <c r="H88" s="96"/>
      <c r="I88" s="96"/>
      <c r="J88" s="96"/>
      <c r="K88" s="127"/>
      <c r="L88" s="127"/>
      <c r="M88" s="127"/>
      <c r="N88" s="127"/>
      <c r="O88" s="127"/>
      <c r="P88" s="96"/>
      <c r="Q88" s="96"/>
      <c r="R88" s="127"/>
      <c r="S88" s="127"/>
      <c r="T88" s="96"/>
      <c r="U88" s="96"/>
      <c r="V88" s="96"/>
      <c r="W88" s="96"/>
      <c r="X88" s="96"/>
      <c r="Y88" s="127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127"/>
      <c r="AU88" s="96"/>
      <c r="AV88" s="96"/>
      <c r="AW88" s="96"/>
      <c r="AX88" s="96"/>
      <c r="AY88" s="127"/>
      <c r="AZ88" s="96"/>
      <c r="BA88" s="96"/>
      <c r="BB88" s="96"/>
      <c r="BC88" s="96"/>
      <c r="BD88" s="96"/>
      <c r="BE88" s="96"/>
      <c r="BF88" s="96"/>
      <c r="BG88" s="96"/>
      <c r="BH88" s="96"/>
      <c r="BI88" s="127"/>
      <c r="BJ88" s="96"/>
      <c r="BK88" s="96"/>
      <c r="BL88" s="96"/>
      <c r="BM88" s="96"/>
      <c r="BN88" s="96"/>
      <c r="BO88" s="96"/>
    </row>
    <row r="89" spans="1:67" ht="12.75">
      <c r="A89" s="93"/>
      <c r="C89" s="13"/>
      <c r="D89" s="96"/>
      <c r="E89" s="96"/>
      <c r="F89" s="96"/>
      <c r="G89" s="96"/>
      <c r="I89" s="96"/>
      <c r="J89" s="96"/>
      <c r="K89" s="96"/>
      <c r="L89" s="96"/>
      <c r="M89" s="96"/>
      <c r="N89" s="127"/>
      <c r="O89" s="127"/>
      <c r="P89" s="96"/>
      <c r="Q89" s="96"/>
      <c r="R89" s="127"/>
      <c r="S89" s="127"/>
      <c r="T89" s="96"/>
      <c r="U89" s="96"/>
      <c r="V89" s="96"/>
      <c r="W89" s="96"/>
      <c r="X89" s="96"/>
      <c r="Y89" s="127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127"/>
      <c r="AU89" s="96"/>
      <c r="AV89" s="96"/>
      <c r="AW89" s="96"/>
      <c r="AX89" s="96"/>
      <c r="AY89" s="127"/>
      <c r="AZ89" s="96"/>
      <c r="BA89" s="96"/>
      <c r="BB89" s="96"/>
      <c r="BC89" s="96"/>
      <c r="BD89" s="96"/>
      <c r="BE89" s="96"/>
      <c r="BF89" s="96"/>
      <c r="BG89" s="96"/>
      <c r="BH89" s="96"/>
      <c r="BI89" s="127"/>
      <c r="BJ89" s="96"/>
      <c r="BK89" s="96"/>
      <c r="BL89" s="96"/>
      <c r="BM89" s="96"/>
      <c r="BN89" s="96"/>
      <c r="BO89" s="96"/>
    </row>
    <row r="90" spans="1:67" ht="12.75">
      <c r="A90" s="36" t="s">
        <v>249</v>
      </c>
      <c r="B90" s="204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127"/>
      <c r="O90" s="127"/>
      <c r="P90" s="96"/>
      <c r="Q90" s="96"/>
      <c r="R90" s="127"/>
      <c r="S90" s="127"/>
      <c r="T90" s="96"/>
      <c r="U90" s="96"/>
      <c r="V90" s="96"/>
      <c r="W90" s="96"/>
      <c r="X90" s="96"/>
      <c r="Y90" s="127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127"/>
      <c r="AU90" s="96"/>
      <c r="AV90" s="96"/>
      <c r="AW90" s="96"/>
      <c r="AX90" s="96"/>
      <c r="AY90" s="127"/>
      <c r="AZ90" s="96"/>
      <c r="BA90" s="96"/>
      <c r="BB90" s="96"/>
      <c r="BC90" s="96"/>
      <c r="BD90" s="96"/>
      <c r="BE90" s="96"/>
      <c r="BF90" s="96"/>
      <c r="BG90" s="96"/>
      <c r="BH90" s="96"/>
      <c r="BI90" s="127"/>
      <c r="BJ90" s="96"/>
      <c r="BK90" s="96"/>
      <c r="BL90" s="96"/>
      <c r="BM90" s="96"/>
      <c r="BN90" s="96"/>
      <c r="BO90" s="96"/>
    </row>
    <row r="91" spans="1:67" ht="12.75">
      <c r="A91" s="29" t="e">
        <f>+#REF!</f>
        <v>#REF!</v>
      </c>
      <c r="B91" s="204"/>
      <c r="C91" s="13">
        <f aca="true" t="shared" si="69" ref="C91:Q91">+C78*C16/100</f>
        <v>19592157.47</v>
      </c>
      <c r="D91" s="13">
        <f t="shared" si="69"/>
        <v>78108805.42799999</v>
      </c>
      <c r="E91" s="13">
        <f t="shared" si="69"/>
        <v>56599</v>
      </c>
      <c r="F91" s="13">
        <f t="shared" si="69"/>
        <v>0</v>
      </c>
      <c r="G91" s="13">
        <f t="shared" si="69"/>
        <v>83361769.137</v>
      </c>
      <c r="H91" s="13">
        <f t="shared" si="69"/>
        <v>45431468.056049496</v>
      </c>
      <c r="I91" s="13">
        <f>+I78*I16/100</f>
        <v>40430622.32</v>
      </c>
      <c r="J91" s="13">
        <f t="shared" si="69"/>
        <v>37853043.365</v>
      </c>
      <c r="K91" s="13">
        <f>+K78*K16/100</f>
        <v>0</v>
      </c>
      <c r="L91" s="13">
        <f>+L78*L16/100</f>
        <v>22243147.65</v>
      </c>
      <c r="M91" s="13">
        <f t="shared" si="69"/>
        <v>20765284.099541098</v>
      </c>
      <c r="N91" s="29">
        <f t="shared" si="69"/>
        <v>12142885.479700001</v>
      </c>
      <c r="O91" s="29"/>
      <c r="P91" s="13">
        <f>+P78*P16/100</f>
        <v>1221868.95</v>
      </c>
      <c r="Q91" s="13">
        <f t="shared" si="69"/>
        <v>15771689.1</v>
      </c>
      <c r="R91" s="29">
        <f aca="true" t="shared" si="70" ref="R91:AE91">+R78*R16/100</f>
        <v>15002007.053000001</v>
      </c>
      <c r="S91" s="29">
        <f t="shared" si="70"/>
        <v>975672.3790000001</v>
      </c>
      <c r="T91" s="13">
        <f t="shared" si="70"/>
        <v>9579404.46153</v>
      </c>
      <c r="U91" s="13">
        <f>+U78*U16/100</f>
        <v>10536355.687968</v>
      </c>
      <c r="V91" s="13">
        <f t="shared" si="70"/>
        <v>10206626.31</v>
      </c>
      <c r="W91" s="13"/>
      <c r="X91" s="13">
        <f>+X78*X16/100</f>
        <v>1275034.4348429998</v>
      </c>
      <c r="Y91" s="29">
        <f t="shared" si="70"/>
        <v>9252538.0645914</v>
      </c>
      <c r="Z91" s="13">
        <f>+Z78*Z16/100</f>
        <v>9195164.011400001</v>
      </c>
      <c r="AA91" s="13">
        <f t="shared" si="70"/>
        <v>9262909.7292</v>
      </c>
      <c r="AB91" s="13">
        <f t="shared" si="70"/>
        <v>9576563.242840001</v>
      </c>
      <c r="AC91" s="13">
        <f t="shared" si="70"/>
        <v>8704263.306</v>
      </c>
      <c r="AD91" s="13">
        <f t="shared" si="70"/>
        <v>7053942.954</v>
      </c>
      <c r="AE91" s="13">
        <f t="shared" si="70"/>
        <v>6405310.460399999</v>
      </c>
      <c r="AF91" s="13">
        <f aca="true" t="shared" si="71" ref="AF91:AX91">+AF78*AF16/100</f>
        <v>1058036.3094</v>
      </c>
      <c r="AG91" s="13">
        <f t="shared" si="71"/>
        <v>6075197.0310122</v>
      </c>
      <c r="AH91" s="13">
        <f>+AH78*AH16/100</f>
        <v>416224.4812894</v>
      </c>
      <c r="AI91" s="13">
        <f t="shared" si="71"/>
        <v>3825149.1148268</v>
      </c>
      <c r="AJ91" s="13">
        <f>+AJ78*AJ16/100</f>
        <v>3623405.8729999997</v>
      </c>
      <c r="AK91" s="13">
        <f>+AK78*AK16/100</f>
        <v>311703.967</v>
      </c>
      <c r="AL91" s="13">
        <f>+AL78*AL16/100</f>
        <v>205756.8865</v>
      </c>
      <c r="AM91" s="13">
        <f t="shared" si="71"/>
        <v>2953155.216</v>
      </c>
      <c r="AN91" s="13">
        <f t="shared" si="71"/>
        <v>2559641</v>
      </c>
      <c r="AO91" s="13">
        <f t="shared" si="71"/>
        <v>2292763.7070000004</v>
      </c>
      <c r="AP91" s="13">
        <f t="shared" si="71"/>
        <v>204252.51</v>
      </c>
      <c r="AQ91" s="13">
        <f t="shared" si="71"/>
        <v>1495985.0616000004</v>
      </c>
      <c r="AR91" s="13">
        <f t="shared" si="71"/>
        <v>2010951.9936</v>
      </c>
      <c r="AS91" s="13">
        <f t="shared" si="71"/>
        <v>1374680.388</v>
      </c>
      <c r="AT91" s="29">
        <f t="shared" si="71"/>
        <v>1051275.861945</v>
      </c>
      <c r="AU91" s="13">
        <f t="shared" si="71"/>
        <v>1277807.9393</v>
      </c>
      <c r="AV91" s="13">
        <f>+AV78*AV16/100</f>
        <v>72694.0292</v>
      </c>
      <c r="AW91" s="13">
        <f t="shared" si="71"/>
        <v>1067954.72703</v>
      </c>
      <c r="AX91" s="13">
        <f t="shared" si="71"/>
        <v>1137710.0925</v>
      </c>
      <c r="AY91" s="29">
        <f aca="true" t="shared" si="72" ref="AY91:BH91">+AY78*AY16/100</f>
        <v>962887.2</v>
      </c>
      <c r="AZ91" s="13">
        <f t="shared" si="72"/>
        <v>593582.625</v>
      </c>
      <c r="BA91" s="13">
        <f t="shared" si="72"/>
        <v>608604.15</v>
      </c>
      <c r="BB91" s="13">
        <f t="shared" si="72"/>
        <v>338494.87537799997</v>
      </c>
      <c r="BC91" s="13">
        <f t="shared" si="72"/>
        <v>346842.4474</v>
      </c>
      <c r="BD91" s="13">
        <f t="shared" si="72"/>
        <v>454924.94190000003</v>
      </c>
      <c r="BE91" s="13">
        <f t="shared" si="72"/>
        <v>427776.20000000007</v>
      </c>
      <c r="BF91" s="13">
        <f t="shared" si="72"/>
        <v>329542.46</v>
      </c>
      <c r="BG91" s="13">
        <f t="shared" si="72"/>
        <v>177656.742</v>
      </c>
      <c r="BH91" s="13">
        <f t="shared" si="72"/>
        <v>66051.4</v>
      </c>
      <c r="BI91" s="29">
        <f>+BI78*BI16/100</f>
        <v>18392.8914072</v>
      </c>
      <c r="BJ91" s="13">
        <f>+BJ78*BJ16/100</f>
        <v>0</v>
      </c>
      <c r="BK91" s="96"/>
      <c r="BL91" s="29">
        <f>SUM(C91:BJ91)</f>
        <v>521344234.2723515</v>
      </c>
      <c r="BM91" s="29"/>
      <c r="BN91" s="29">
        <f>+D91+E91+F91+AC91+AJ91+AM91+AN91+AP91+AT91+AW91+AY91+AZ91+BC91+BF91+BG91+BH91+BI91</f>
        <v>100824308.6877822</v>
      </c>
      <c r="BO91" s="29">
        <f>+C91+SUM(G91:AB91)+AD91+AE91+AF91+AG91+AH91+AI91+AK91+AL91+AO91+AQ91+AR91+AS91+AU91+AV91+AX91+BA91+BB91+BD91+BE91+BJ91</f>
        <v>420519925.5845694</v>
      </c>
    </row>
    <row r="92" spans="1:67" ht="12.75">
      <c r="A92" s="29" t="e">
        <f>+#REF!</f>
        <v>#REF!</v>
      </c>
      <c r="B92" s="204"/>
      <c r="C92" s="13">
        <f aca="true" t="shared" si="73" ref="C92:Q92">+C78*C17/100</f>
        <v>4012851.53</v>
      </c>
      <c r="D92" s="13">
        <f t="shared" si="73"/>
        <v>11056497.572</v>
      </c>
      <c r="E92" s="13">
        <f t="shared" si="73"/>
        <v>0</v>
      </c>
      <c r="F92" s="13">
        <f t="shared" si="73"/>
        <v>0</v>
      </c>
      <c r="G92" s="13">
        <f t="shared" si="73"/>
        <v>16234131.863</v>
      </c>
      <c r="H92" s="13">
        <f t="shared" si="73"/>
        <v>6579371.1609505</v>
      </c>
      <c r="I92" s="13">
        <f>+I78*I17/100</f>
        <v>5513266.68</v>
      </c>
      <c r="J92" s="13">
        <f t="shared" si="73"/>
        <v>10244851.635</v>
      </c>
      <c r="K92" s="13">
        <f>+K78*K17/100</f>
        <v>0</v>
      </c>
      <c r="L92" s="13">
        <f>+L78*L17/100</f>
        <v>3925261.35</v>
      </c>
      <c r="M92" s="13">
        <f t="shared" si="73"/>
        <v>2392164.4334589</v>
      </c>
      <c r="N92" s="29">
        <f t="shared" si="73"/>
        <v>3592355.5202999995</v>
      </c>
      <c r="O92" s="29"/>
      <c r="P92" s="13">
        <f>+P78*P17/100</f>
        <v>601816.05</v>
      </c>
      <c r="Q92" s="13">
        <f t="shared" si="73"/>
        <v>2674730.9</v>
      </c>
      <c r="R92" s="29">
        <f aca="true" t="shared" si="74" ref="R92:AE92">+R78*R17/100</f>
        <v>321799.94700000004</v>
      </c>
      <c r="S92" s="29">
        <f t="shared" si="74"/>
        <v>20928.621</v>
      </c>
      <c r="T92" s="13">
        <f t="shared" si="74"/>
        <v>3383253.80847</v>
      </c>
      <c r="U92" s="13">
        <f>+U78*U17/100</f>
        <v>2375844.910032</v>
      </c>
      <c r="V92" s="13">
        <f t="shared" si="74"/>
        <v>1973118.69</v>
      </c>
      <c r="W92" s="13"/>
      <c r="X92" s="13">
        <f>+X78*X17/100</f>
        <v>469198.71815699997</v>
      </c>
      <c r="Y92" s="29">
        <f t="shared" si="74"/>
        <v>2288609.5774085997</v>
      </c>
      <c r="Z92" s="13">
        <f>+Z78*Z17/100</f>
        <v>2221726.9886000003</v>
      </c>
      <c r="AA92" s="13">
        <f t="shared" si="74"/>
        <v>2014068.2707999998</v>
      </c>
      <c r="AB92" s="13">
        <f t="shared" si="74"/>
        <v>1599260.3571600001</v>
      </c>
      <c r="AC92" s="13">
        <f t="shared" si="74"/>
        <v>1621078.6940000001</v>
      </c>
      <c r="AD92" s="13">
        <f t="shared" si="74"/>
        <v>731866.0460000001</v>
      </c>
      <c r="AE92" s="13">
        <f t="shared" si="74"/>
        <v>1319376.5396</v>
      </c>
      <c r="AF92" s="13">
        <f aca="true" t="shared" si="75" ref="AF92:AX92">+AF78*AF17/100</f>
        <v>365969.49059999996</v>
      </c>
      <c r="AG92" s="13">
        <f t="shared" si="75"/>
        <v>516098.43498779996</v>
      </c>
      <c r="AH92" s="13">
        <f>+AH78*AH17/100</f>
        <v>71557.63671060001</v>
      </c>
      <c r="AI92" s="13">
        <f t="shared" si="75"/>
        <v>1335602.5241732</v>
      </c>
      <c r="AJ92" s="13">
        <f>+AJ78*AJ17/100</f>
        <v>489427.12700000004</v>
      </c>
      <c r="AK92" s="13">
        <f>+AK78*AK17/100</f>
        <v>42103.032999999996</v>
      </c>
      <c r="AL92" s="13">
        <f>+AL78*AL17/100</f>
        <v>70538.1135</v>
      </c>
      <c r="AM92" s="13">
        <f t="shared" si="75"/>
        <v>48018.78400000001</v>
      </c>
      <c r="AN92" s="13">
        <f t="shared" si="75"/>
        <v>0</v>
      </c>
      <c r="AO92" s="13">
        <f t="shared" si="75"/>
        <v>128317.29299999999</v>
      </c>
      <c r="AP92" s="13">
        <f t="shared" si="75"/>
        <v>9177.49</v>
      </c>
      <c r="AQ92" s="13">
        <f t="shared" si="75"/>
        <v>57478.13840000001</v>
      </c>
      <c r="AR92" s="13">
        <f t="shared" si="75"/>
        <v>94316.00640000001</v>
      </c>
      <c r="AS92" s="13">
        <f t="shared" si="75"/>
        <v>592239.612</v>
      </c>
      <c r="AT92" s="29">
        <f t="shared" si="75"/>
        <v>322940.951055</v>
      </c>
      <c r="AU92" s="13">
        <f t="shared" si="75"/>
        <v>57275.0607</v>
      </c>
      <c r="AV92" s="13">
        <f>+AV78*AV17/100</f>
        <v>8229.9708</v>
      </c>
      <c r="AW92" s="13">
        <f t="shared" si="75"/>
        <v>198895.48296999998</v>
      </c>
      <c r="AX92" s="13">
        <f t="shared" si="75"/>
        <v>102300.9075</v>
      </c>
      <c r="AY92" s="29">
        <f aca="true" t="shared" si="76" ref="AY92:BH92">+AY78*AY17/100</f>
        <v>131302.8</v>
      </c>
      <c r="AZ92" s="13">
        <f t="shared" si="76"/>
        <v>190542.375</v>
      </c>
      <c r="BA92" s="13">
        <f t="shared" si="76"/>
        <v>21420.85</v>
      </c>
      <c r="BB92" s="13">
        <f t="shared" si="76"/>
        <v>15209.278621999998</v>
      </c>
      <c r="BC92" s="13">
        <f t="shared" si="76"/>
        <v>91200.5526</v>
      </c>
      <c r="BD92" s="13">
        <f t="shared" si="76"/>
        <v>22486.058100000002</v>
      </c>
      <c r="BE92" s="13">
        <f t="shared" si="76"/>
        <v>0</v>
      </c>
      <c r="BF92" s="13">
        <f t="shared" si="76"/>
        <v>4002.54</v>
      </c>
      <c r="BG92" s="13">
        <f t="shared" si="76"/>
        <v>8566.258</v>
      </c>
      <c r="BH92" s="13">
        <f t="shared" si="76"/>
        <v>0</v>
      </c>
      <c r="BI92" s="29">
        <f>+BI78*BI17/100</f>
        <v>1107.6295928</v>
      </c>
      <c r="BJ92" s="13">
        <f>+BJ78*BJ17/100</f>
        <v>0</v>
      </c>
      <c r="BK92" s="96"/>
      <c r="BL92" s="29">
        <f>SUM(C92:BJ92)</f>
        <v>92163754.26164842</v>
      </c>
      <c r="BM92" s="29"/>
      <c r="BN92" s="29">
        <f>+D92+E92+F92+AC92+AJ92+AM92+AN92+AP92+AT92+AW92+AY92+AZ92+BC92+BF92+BG92+BH92+BI92</f>
        <v>14172758.2562178</v>
      </c>
      <c r="BO92" s="29">
        <f>+C92+SUM(G92:AB92)+AD92+AE92+AF92+AG92+AH92+AI92+AK92+AL92+AO92+AQ92+AR92+AS92+AU92+AV92+AX92+BA92+BB92+BD92+BE92+BJ92</f>
        <v>77990996.00543061</v>
      </c>
    </row>
    <row r="93" spans="1:67" ht="12.75">
      <c r="A93" s="29" t="e">
        <f>+#REF!</f>
        <v>#REF!</v>
      </c>
      <c r="B93" s="204"/>
      <c r="C93" s="13">
        <f aca="true" t="shared" si="77" ref="C93:Q93">SUM(C91:C92)</f>
        <v>23605009</v>
      </c>
      <c r="D93" s="13">
        <f t="shared" si="77"/>
        <v>89165302.99999999</v>
      </c>
      <c r="E93" s="13">
        <f t="shared" si="77"/>
        <v>56599</v>
      </c>
      <c r="F93" s="13">
        <f t="shared" si="77"/>
        <v>0</v>
      </c>
      <c r="G93" s="13">
        <f t="shared" si="77"/>
        <v>99595901</v>
      </c>
      <c r="H93" s="13">
        <f t="shared" si="77"/>
        <v>52010839.21699999</v>
      </c>
      <c r="I93" s="13">
        <f>SUM(I91:I92)</f>
        <v>45943889</v>
      </c>
      <c r="J93" s="13">
        <f t="shared" si="77"/>
        <v>48097895</v>
      </c>
      <c r="K93" s="13">
        <f>SUM(K91:K92)</f>
        <v>0</v>
      </c>
      <c r="L93" s="13">
        <f>SUM(L91:L92)</f>
        <v>26168409</v>
      </c>
      <c r="M93" s="13">
        <f t="shared" si="77"/>
        <v>23157448.533</v>
      </c>
      <c r="N93" s="29">
        <f t="shared" si="77"/>
        <v>15735241</v>
      </c>
      <c r="O93" s="29"/>
      <c r="P93" s="13">
        <f>SUM(P91:P92)</f>
        <v>1823685</v>
      </c>
      <c r="Q93" s="13">
        <f t="shared" si="77"/>
        <v>18446420</v>
      </c>
      <c r="R93" s="29">
        <f aca="true" t="shared" si="78" ref="R93:AE93">SUM(R91:R92)</f>
        <v>15323807.000000002</v>
      </c>
      <c r="S93" s="29">
        <f t="shared" si="78"/>
        <v>996601.0000000001</v>
      </c>
      <c r="T93" s="13">
        <f t="shared" si="78"/>
        <v>12962658.27</v>
      </c>
      <c r="U93" s="13">
        <f>SUM(U91:U92)</f>
        <v>12912200.598000001</v>
      </c>
      <c r="V93" s="13">
        <f t="shared" si="78"/>
        <v>12179745</v>
      </c>
      <c r="W93" s="13"/>
      <c r="X93" s="13">
        <f>SUM(X91:X92)</f>
        <v>1744233.1529999997</v>
      </c>
      <c r="Y93" s="29">
        <f t="shared" si="78"/>
        <v>11541147.642</v>
      </c>
      <c r="Z93" s="13">
        <f>SUM(Z91:Z92)</f>
        <v>11416891.000000002</v>
      </c>
      <c r="AA93" s="13">
        <f t="shared" si="78"/>
        <v>11276978</v>
      </c>
      <c r="AB93" s="13">
        <f t="shared" si="78"/>
        <v>11175823.600000001</v>
      </c>
      <c r="AC93" s="13">
        <f t="shared" si="78"/>
        <v>10325342</v>
      </c>
      <c r="AD93" s="13">
        <f t="shared" si="78"/>
        <v>7785809</v>
      </c>
      <c r="AE93" s="13">
        <f t="shared" si="78"/>
        <v>7724686.999999999</v>
      </c>
      <c r="AF93" s="13">
        <f aca="true" t="shared" si="79" ref="AF93:AX93">SUM(AF91:AF92)</f>
        <v>1424005.7999999998</v>
      </c>
      <c r="AG93" s="13">
        <f t="shared" si="79"/>
        <v>6591295.466</v>
      </c>
      <c r="AH93" s="13">
        <f>SUM(AH91:AH92)</f>
        <v>487782.118</v>
      </c>
      <c r="AI93" s="13">
        <f t="shared" si="79"/>
        <v>5160751.6389999995</v>
      </c>
      <c r="AJ93" s="13">
        <f>SUM(AJ91:AJ92)</f>
        <v>4112832.9999999995</v>
      </c>
      <c r="AK93" s="13">
        <f>SUM(AK91:AK92)</f>
        <v>353807</v>
      </c>
      <c r="AL93" s="13">
        <f>SUM(AL91:AL92)</f>
        <v>276295</v>
      </c>
      <c r="AM93" s="13">
        <f t="shared" si="79"/>
        <v>3001174</v>
      </c>
      <c r="AN93" s="13">
        <f t="shared" si="79"/>
        <v>2559641</v>
      </c>
      <c r="AO93" s="13">
        <f t="shared" si="79"/>
        <v>2421081.0000000005</v>
      </c>
      <c r="AP93" s="13">
        <f t="shared" si="79"/>
        <v>213430</v>
      </c>
      <c r="AQ93" s="13">
        <f t="shared" si="79"/>
        <v>1553463.2000000004</v>
      </c>
      <c r="AR93" s="13">
        <f t="shared" si="79"/>
        <v>2105268</v>
      </c>
      <c r="AS93" s="13">
        <f t="shared" si="79"/>
        <v>1966920</v>
      </c>
      <c r="AT93" s="29">
        <f t="shared" si="79"/>
        <v>1374216.813</v>
      </c>
      <c r="AU93" s="13">
        <f t="shared" si="79"/>
        <v>1335083</v>
      </c>
      <c r="AV93" s="13">
        <f>SUM(AV91:AV92)</f>
        <v>80924</v>
      </c>
      <c r="AW93" s="13">
        <f t="shared" si="79"/>
        <v>1266850.21</v>
      </c>
      <c r="AX93" s="13">
        <f t="shared" si="79"/>
        <v>1240011</v>
      </c>
      <c r="AY93" s="29">
        <f aca="true" t="shared" si="80" ref="AY93:BH93">SUM(AY91:AY92)</f>
        <v>1094190</v>
      </c>
      <c r="AZ93" s="13">
        <f t="shared" si="80"/>
        <v>784125</v>
      </c>
      <c r="BA93" s="13">
        <f t="shared" si="80"/>
        <v>630025</v>
      </c>
      <c r="BB93" s="13">
        <f t="shared" si="80"/>
        <v>353704.154</v>
      </c>
      <c r="BC93" s="13">
        <f t="shared" si="80"/>
        <v>438043</v>
      </c>
      <c r="BD93" s="13">
        <f t="shared" si="80"/>
        <v>477411.00000000006</v>
      </c>
      <c r="BE93" s="13">
        <f t="shared" si="80"/>
        <v>427776.20000000007</v>
      </c>
      <c r="BF93" s="13">
        <f t="shared" si="80"/>
        <v>333545</v>
      </c>
      <c r="BG93" s="13">
        <f t="shared" si="80"/>
        <v>186223</v>
      </c>
      <c r="BH93" s="13">
        <f t="shared" si="80"/>
        <v>66051.4</v>
      </c>
      <c r="BI93" s="29">
        <f>SUM(BI91:BI92)</f>
        <v>19500.521</v>
      </c>
      <c r="BJ93" s="13">
        <f>SUM(BJ91:BJ92)</f>
        <v>0</v>
      </c>
      <c r="BK93" s="96"/>
      <c r="BL93" s="29">
        <f>SUM(C93:BJ93)</f>
        <v>613507988.5340002</v>
      </c>
      <c r="BM93" s="29"/>
      <c r="BN93" s="29">
        <f>+D93+E93+F93+AC93+AJ93+AM93+AN93+AP93+AT93+AW93+AY93+AZ93+BC93+BF93+BG93+BH93+BI93</f>
        <v>114997066.94399998</v>
      </c>
      <c r="BO93" s="29">
        <f>+C93+SUM(G93:AB93)+AD93+AE93+AF93+AG93+AH93+AI93+AK93+AL93+AO93+AQ93+AR93+AS93+AU93+AV93+AX93+BA93+BB93+BD93+BE93+BJ93</f>
        <v>498510921.59</v>
      </c>
    </row>
    <row r="94" spans="1:67" ht="12.75">
      <c r="A94" s="93"/>
      <c r="C94" s="13"/>
      <c r="D94" s="13"/>
      <c r="E94" s="13"/>
      <c r="F94" s="13"/>
      <c r="G94" s="13"/>
      <c r="H94" s="13"/>
      <c r="I94" s="13"/>
      <c r="J94" s="13"/>
      <c r="K94" s="13"/>
      <c r="L94" s="29"/>
      <c r="M94" s="13"/>
      <c r="N94" s="29"/>
      <c r="O94" s="29"/>
      <c r="P94" s="13"/>
      <c r="Q94" s="13"/>
      <c r="R94" s="29"/>
      <c r="S94" s="29"/>
      <c r="T94" s="13"/>
      <c r="U94" s="13"/>
      <c r="V94" s="13"/>
      <c r="W94" s="13"/>
      <c r="X94" s="13"/>
      <c r="Y94" s="29"/>
      <c r="Z94" s="13"/>
      <c r="AA94" s="13"/>
      <c r="AB94" s="13"/>
      <c r="AC94" s="13"/>
      <c r="AD94" s="29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29"/>
      <c r="AU94" s="13"/>
      <c r="AV94" s="13"/>
      <c r="AW94" s="13"/>
      <c r="AX94" s="13"/>
      <c r="AY94" s="29"/>
      <c r="AZ94" s="13"/>
      <c r="BA94" s="13"/>
      <c r="BB94" s="13"/>
      <c r="BC94" s="13"/>
      <c r="BD94" s="13"/>
      <c r="BE94" s="13"/>
      <c r="BF94" s="13"/>
      <c r="BG94" s="13"/>
      <c r="BH94" s="13"/>
      <c r="BI94" s="29"/>
      <c r="BJ94" s="29"/>
      <c r="BL94" s="29"/>
      <c r="BM94" s="29"/>
      <c r="BN94" s="29"/>
      <c r="BO94" s="29"/>
    </row>
    <row r="95" ht="12.75">
      <c r="A95" s="93"/>
    </row>
    <row r="96" ht="12.75">
      <c r="A96" s="93"/>
    </row>
    <row r="97" ht="12.75">
      <c r="A97" s="93"/>
    </row>
    <row r="98" ht="12.75">
      <c r="A98" s="93"/>
    </row>
    <row r="99" ht="12.75">
      <c r="A99" s="93"/>
    </row>
    <row r="100" ht="12.75">
      <c r="A100" s="93"/>
    </row>
    <row r="101" ht="12.75">
      <c r="A101" s="93"/>
    </row>
    <row r="102" ht="12.75">
      <c r="A102" s="93"/>
    </row>
    <row r="103" ht="12.75">
      <c r="A103" s="93"/>
    </row>
    <row r="104" ht="12.75">
      <c r="A104" s="93"/>
    </row>
    <row r="105" ht="12.75">
      <c r="A105" s="93"/>
    </row>
    <row r="106" ht="12.75">
      <c r="A106" s="93"/>
    </row>
  </sheetData>
  <mergeCells count="27">
    <mergeCell ref="AJ1:AK1"/>
    <mergeCell ref="AO1:AP1"/>
    <mergeCell ref="C2:F2"/>
    <mergeCell ref="J2:K2"/>
    <mergeCell ref="N2:O2"/>
    <mergeCell ref="R2:S2"/>
    <mergeCell ref="V2:W2"/>
    <mergeCell ref="AJ2:AK2"/>
    <mergeCell ref="AO2:AP2"/>
    <mergeCell ref="C1:F1"/>
    <mergeCell ref="J1:K1"/>
    <mergeCell ref="N3:O3"/>
    <mergeCell ref="R3:S3"/>
    <mergeCell ref="V3:W3"/>
    <mergeCell ref="V1:W1"/>
    <mergeCell ref="N1:O1"/>
    <mergeCell ref="R1:S1"/>
    <mergeCell ref="AJ3:AK3"/>
    <mergeCell ref="AO3:AP3"/>
    <mergeCell ref="C4:F4"/>
    <mergeCell ref="J4:K4"/>
    <mergeCell ref="N4:O4"/>
    <mergeCell ref="R4:S4"/>
    <mergeCell ref="V4:W4"/>
    <mergeCell ref="AJ4:AK4"/>
    <mergeCell ref="AO4:AP4"/>
    <mergeCell ref="J3:K3"/>
  </mergeCells>
  <printOptions/>
  <pageMargins left="0.35433070866141736" right="0.2362204724409449" top="1.1811023622047245" bottom="0.2755905511811024" header="0.5118110236220472" footer="0.1968503937007874"/>
  <pageSetup firstPageNumber="50" useFirstPageNumber="1" horizontalDpi="600" verticalDpi="600" orientation="portrait" paperSize="9" r:id="rId1"/>
  <headerFooter alignWithMargins="0">
    <oddHeader>&amp;C&amp;"Times New Roman,Bold"&amp;14 4.2. FINANACIAL RATIOS FOR MUTUAL INSURANCE DIVISIONS 2002</oddHeader>
    <oddFooter>&amp;R&amp;"Times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L176"/>
  <sheetViews>
    <sheetView workbookViewId="0" topLeftCell="A1">
      <pane xSplit="1" ySplit="6" topLeftCell="AQ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U6" sqref="AU6"/>
    </sheetView>
  </sheetViews>
  <sheetFormatPr defaultColWidth="9.140625" defaultRowHeight="12.75"/>
  <cols>
    <col min="1" max="1" width="37.421875" style="42" customWidth="1"/>
    <col min="2" max="2" width="11.140625" style="42" customWidth="1"/>
    <col min="3" max="4" width="9.00390625" style="42" customWidth="1"/>
    <col min="5" max="5" width="9.421875" style="42" customWidth="1"/>
    <col min="6" max="7" width="11.140625" style="42" bestFit="1" customWidth="1"/>
    <col min="8" max="8" width="9.00390625" style="42" bestFit="1" customWidth="1"/>
    <col min="9" max="10" width="9.00390625" style="42" customWidth="1"/>
    <col min="11" max="11" width="10.7109375" style="42" bestFit="1" customWidth="1"/>
    <col min="12" max="12" width="8.8515625" style="42" customWidth="1"/>
    <col min="13" max="14" width="9.00390625" style="42" bestFit="1" customWidth="1"/>
    <col min="15" max="15" width="9.7109375" style="42" bestFit="1" customWidth="1"/>
    <col min="16" max="16" width="10.421875" style="42" customWidth="1"/>
    <col min="17" max="17" width="10.8515625" style="42" customWidth="1"/>
    <col min="18" max="18" width="9.8515625" style="42" customWidth="1"/>
    <col min="19" max="19" width="8.8515625" style="42" customWidth="1"/>
    <col min="20" max="20" width="8.140625" style="42" customWidth="1"/>
    <col min="21" max="21" width="10.7109375" style="42" customWidth="1"/>
    <col min="22" max="22" width="9.28125" style="42" customWidth="1"/>
    <col min="23" max="23" width="10.140625" style="42" customWidth="1"/>
    <col min="24" max="24" width="8.57421875" style="42" customWidth="1"/>
    <col min="25" max="25" width="9.140625" style="42" customWidth="1"/>
    <col min="26" max="26" width="8.28125" style="42" customWidth="1"/>
    <col min="27" max="27" width="9.00390625" style="42" customWidth="1"/>
    <col min="28" max="28" width="11.28125" style="42" customWidth="1"/>
    <col min="29" max="29" width="9.7109375" style="42" customWidth="1"/>
    <col min="30" max="30" width="9.57421875" style="42" customWidth="1"/>
    <col min="31" max="31" width="10.57421875" style="42" customWidth="1"/>
    <col min="32" max="32" width="9.8515625" style="42" customWidth="1"/>
    <col min="33" max="33" width="11.28125" style="42" customWidth="1"/>
    <col min="34" max="34" width="11.57421875" style="42" bestFit="1" customWidth="1"/>
    <col min="35" max="35" width="10.57421875" style="42" customWidth="1"/>
    <col min="36" max="36" width="9.7109375" style="42" customWidth="1"/>
    <col min="37" max="37" width="9.140625" style="42" customWidth="1"/>
    <col min="38" max="38" width="8.421875" style="42" customWidth="1"/>
    <col min="39" max="39" width="9.57421875" style="42" customWidth="1"/>
    <col min="40" max="40" width="7.57421875" style="42" customWidth="1"/>
    <col min="41" max="41" width="8.57421875" style="42" customWidth="1"/>
    <col min="42" max="42" width="9.00390625" style="42" customWidth="1"/>
    <col min="43" max="43" width="6.8515625" style="42" customWidth="1"/>
    <col min="44" max="44" width="9.140625" style="42" customWidth="1"/>
    <col min="45" max="45" width="10.57421875" style="42" customWidth="1"/>
    <col min="46" max="46" width="3.140625" style="42" customWidth="1"/>
    <col min="47" max="47" width="9.8515625" style="42" customWidth="1"/>
    <col min="48" max="48" width="12.28125" style="42" customWidth="1"/>
    <col min="49" max="49" width="3.00390625" style="42" customWidth="1"/>
    <col min="50" max="50" width="12.57421875" style="42" customWidth="1"/>
    <col min="51" max="51" width="12.421875" style="42" customWidth="1"/>
    <col min="52" max="52" width="2.57421875" style="42" customWidth="1"/>
    <col min="53" max="53" width="9.140625" style="42" customWidth="1"/>
    <col min="54" max="54" width="12.421875" style="42" bestFit="1" customWidth="1"/>
    <col min="55" max="16384" width="9.140625" style="42" customWidth="1"/>
  </cols>
  <sheetData>
    <row r="1" spans="1:52" ht="12.75">
      <c r="A1" s="247"/>
      <c r="B1" s="281" t="s">
        <v>60</v>
      </c>
      <c r="C1" s="281"/>
      <c r="D1" s="281"/>
      <c r="E1" s="100" t="s">
        <v>60</v>
      </c>
      <c r="F1" s="281" t="s">
        <v>60</v>
      </c>
      <c r="G1" s="281"/>
      <c r="H1" s="281" t="s">
        <v>60</v>
      </c>
      <c r="I1" s="281" t="s">
        <v>60</v>
      </c>
      <c r="J1" s="281" t="s">
        <v>60</v>
      </c>
      <c r="K1" s="281" t="s">
        <v>61</v>
      </c>
      <c r="L1" s="281"/>
      <c r="M1" s="281" t="s">
        <v>60</v>
      </c>
      <c r="N1" s="281" t="s">
        <v>60</v>
      </c>
      <c r="O1" s="100" t="s">
        <v>62</v>
      </c>
      <c r="P1" s="281" t="s">
        <v>64</v>
      </c>
      <c r="Q1" s="281"/>
      <c r="R1" s="281"/>
      <c r="S1" s="281" t="s">
        <v>60</v>
      </c>
      <c r="T1" s="281"/>
      <c r="U1" s="100" t="s">
        <v>63</v>
      </c>
      <c r="V1" s="100" t="s">
        <v>60</v>
      </c>
      <c r="W1" s="100" t="s">
        <v>60</v>
      </c>
      <c r="X1" s="281" t="s">
        <v>65</v>
      </c>
      <c r="Y1" s="281"/>
      <c r="Z1" s="281"/>
      <c r="AA1" s="281"/>
      <c r="AB1" s="100" t="s">
        <v>60</v>
      </c>
      <c r="AC1" s="281" t="s">
        <v>60</v>
      </c>
      <c r="AD1" s="281"/>
      <c r="AE1" s="100" t="s">
        <v>60</v>
      </c>
      <c r="AF1" s="100" t="s">
        <v>66</v>
      </c>
      <c r="AG1" s="100" t="s">
        <v>60</v>
      </c>
      <c r="AH1" s="281" t="s">
        <v>68</v>
      </c>
      <c r="AI1" s="281"/>
      <c r="AJ1" s="281"/>
      <c r="AK1" s="281" t="s">
        <v>60</v>
      </c>
      <c r="AL1" s="281"/>
      <c r="AM1" s="281"/>
      <c r="AN1" s="281" t="s">
        <v>70</v>
      </c>
      <c r="AO1" s="281"/>
      <c r="AP1" s="281"/>
      <c r="AQ1" s="281"/>
      <c r="AR1" s="100" t="s">
        <v>60</v>
      </c>
      <c r="AS1" s="100" t="s">
        <v>60</v>
      </c>
      <c r="AT1" s="100"/>
      <c r="AV1" s="100"/>
      <c r="AW1" s="109"/>
      <c r="AX1" s="109"/>
      <c r="AY1" s="109"/>
      <c r="AZ1" s="109"/>
    </row>
    <row r="2" spans="1:52" ht="12.75">
      <c r="A2" s="247" t="s">
        <v>317</v>
      </c>
      <c r="B2" s="281" t="s">
        <v>74</v>
      </c>
      <c r="C2" s="281"/>
      <c r="D2" s="281"/>
      <c r="E2" s="100" t="s">
        <v>73</v>
      </c>
      <c r="F2" s="281" t="s">
        <v>75</v>
      </c>
      <c r="G2" s="281"/>
      <c r="H2" s="281" t="s">
        <v>77</v>
      </c>
      <c r="I2" s="281" t="s">
        <v>77</v>
      </c>
      <c r="J2" s="281" t="s">
        <v>77</v>
      </c>
      <c r="K2" s="281" t="s">
        <v>287</v>
      </c>
      <c r="L2" s="281" t="s">
        <v>76</v>
      </c>
      <c r="M2" s="281" t="s">
        <v>288</v>
      </c>
      <c r="N2" s="281" t="s">
        <v>78</v>
      </c>
      <c r="O2" s="100" t="s">
        <v>76</v>
      </c>
      <c r="P2" s="281" t="s">
        <v>76</v>
      </c>
      <c r="Q2" s="281" t="s">
        <v>76</v>
      </c>
      <c r="R2" s="281" t="s">
        <v>76</v>
      </c>
      <c r="S2" s="281" t="s">
        <v>80</v>
      </c>
      <c r="T2" s="281"/>
      <c r="U2" s="100" t="s">
        <v>76</v>
      </c>
      <c r="V2" s="100" t="s">
        <v>81</v>
      </c>
      <c r="W2" s="100" t="s">
        <v>82</v>
      </c>
      <c r="X2" s="281" t="s">
        <v>88</v>
      </c>
      <c r="Y2" s="281" t="s">
        <v>88</v>
      </c>
      <c r="Z2" s="281" t="s">
        <v>88</v>
      </c>
      <c r="AA2" s="281" t="s">
        <v>88</v>
      </c>
      <c r="AB2" s="100" t="s">
        <v>86</v>
      </c>
      <c r="AC2" s="281" t="s">
        <v>87</v>
      </c>
      <c r="AD2" s="281" t="s">
        <v>87</v>
      </c>
      <c r="AE2" s="100" t="s">
        <v>90</v>
      </c>
      <c r="AF2" s="100" t="s">
        <v>91</v>
      </c>
      <c r="AG2" s="100" t="s">
        <v>94</v>
      </c>
      <c r="AH2" s="281" t="s">
        <v>76</v>
      </c>
      <c r="AI2" s="281" t="s">
        <v>76</v>
      </c>
      <c r="AJ2" s="281" t="s">
        <v>76</v>
      </c>
      <c r="AK2" s="281" t="s">
        <v>93</v>
      </c>
      <c r="AL2" s="281" t="s">
        <v>93</v>
      </c>
      <c r="AM2" s="281" t="s">
        <v>93</v>
      </c>
      <c r="AN2" s="281" t="s">
        <v>76</v>
      </c>
      <c r="AO2" s="281" t="s">
        <v>76</v>
      </c>
      <c r="AP2" s="281" t="s">
        <v>76</v>
      </c>
      <c r="AQ2" s="281" t="s">
        <v>76</v>
      </c>
      <c r="AR2" s="100" t="s">
        <v>99</v>
      </c>
      <c r="AS2" s="100" t="s">
        <v>104</v>
      </c>
      <c r="AT2" s="100"/>
      <c r="AU2" s="136" t="s">
        <v>525</v>
      </c>
      <c r="AV2" s="100"/>
      <c r="AW2" s="109"/>
      <c r="AX2" s="109"/>
      <c r="AY2" s="109"/>
      <c r="AZ2" s="109"/>
    </row>
    <row r="3" spans="1:52" ht="12.75">
      <c r="A3" s="247"/>
      <c r="E3" s="100" t="s">
        <v>120</v>
      </c>
      <c r="K3" s="100"/>
      <c r="L3" s="100"/>
      <c r="M3" s="100"/>
      <c r="N3" s="100"/>
      <c r="O3" s="100" t="s">
        <v>119</v>
      </c>
      <c r="P3" s="281" t="s">
        <v>92</v>
      </c>
      <c r="Q3" s="281" t="s">
        <v>92</v>
      </c>
      <c r="R3" s="281" t="s">
        <v>92</v>
      </c>
      <c r="S3" s="281"/>
      <c r="T3" s="281"/>
      <c r="U3" s="100" t="s">
        <v>92</v>
      </c>
      <c r="V3" s="100" t="s">
        <v>118</v>
      </c>
      <c r="W3" s="100" t="s">
        <v>121</v>
      </c>
      <c r="X3" s="281" t="s">
        <v>260</v>
      </c>
      <c r="Y3" s="281" t="s">
        <v>260</v>
      </c>
      <c r="Z3" s="281" t="s">
        <v>260</v>
      </c>
      <c r="AA3" s="281" t="s">
        <v>260</v>
      </c>
      <c r="AB3" s="100" t="s">
        <v>123</v>
      </c>
      <c r="AC3" s="281" t="s">
        <v>258</v>
      </c>
      <c r="AD3" s="281" t="s">
        <v>258</v>
      </c>
      <c r="AE3" s="100" t="s">
        <v>256</v>
      </c>
      <c r="AF3" s="100" t="s">
        <v>127</v>
      </c>
      <c r="AG3" s="100" t="s">
        <v>129</v>
      </c>
      <c r="AH3" s="281" t="s">
        <v>92</v>
      </c>
      <c r="AI3" s="281" t="s">
        <v>92</v>
      </c>
      <c r="AJ3" s="281" t="s">
        <v>92</v>
      </c>
      <c r="AK3" s="281" t="s">
        <v>136</v>
      </c>
      <c r="AL3" s="281" t="s">
        <v>136</v>
      </c>
      <c r="AM3" s="281" t="s">
        <v>136</v>
      </c>
      <c r="AN3" s="281" t="s">
        <v>92</v>
      </c>
      <c r="AO3" s="281" t="s">
        <v>92</v>
      </c>
      <c r="AP3" s="281" t="s">
        <v>92</v>
      </c>
      <c r="AQ3" s="281" t="s">
        <v>92</v>
      </c>
      <c r="AR3" s="100"/>
      <c r="AS3" s="100" t="s">
        <v>140</v>
      </c>
      <c r="AT3" s="100"/>
      <c r="AV3" s="100"/>
      <c r="AW3" s="109"/>
      <c r="AX3" s="109"/>
      <c r="AY3" s="109"/>
      <c r="AZ3" s="109"/>
    </row>
    <row r="4" spans="1:52" s="105" customFormat="1" ht="12.75">
      <c r="A4" s="247"/>
      <c r="B4" s="284" t="s">
        <v>233</v>
      </c>
      <c r="C4" s="284"/>
      <c r="D4" s="284"/>
      <c r="E4" s="104" t="s">
        <v>151</v>
      </c>
      <c r="F4" s="284" t="s">
        <v>156</v>
      </c>
      <c r="G4" s="284"/>
      <c r="H4" s="284" t="s">
        <v>157</v>
      </c>
      <c r="I4" s="284" t="s">
        <v>157</v>
      </c>
      <c r="J4" s="284" t="s">
        <v>157</v>
      </c>
      <c r="K4" s="284" t="s">
        <v>160</v>
      </c>
      <c r="L4" s="284"/>
      <c r="M4" s="284" t="s">
        <v>161</v>
      </c>
      <c r="N4" s="284" t="s">
        <v>161</v>
      </c>
      <c r="O4" s="104" t="s">
        <v>162</v>
      </c>
      <c r="P4" s="281" t="s">
        <v>164</v>
      </c>
      <c r="Q4" s="281" t="s">
        <v>164</v>
      </c>
      <c r="R4" s="281" t="s">
        <v>164</v>
      </c>
      <c r="S4" s="281" t="s">
        <v>165</v>
      </c>
      <c r="T4" s="281" t="s">
        <v>165</v>
      </c>
      <c r="U4" s="104" t="s">
        <v>166</v>
      </c>
      <c r="V4" s="104" t="s">
        <v>167</v>
      </c>
      <c r="W4" s="104" t="s">
        <v>169</v>
      </c>
      <c r="X4" s="281" t="s">
        <v>170</v>
      </c>
      <c r="Y4" s="281"/>
      <c r="Z4" s="281"/>
      <c r="AA4" s="281" t="s">
        <v>170</v>
      </c>
      <c r="AB4" s="104" t="s">
        <v>171</v>
      </c>
      <c r="AC4" s="281" t="s">
        <v>174</v>
      </c>
      <c r="AD4" s="281" t="s">
        <v>174</v>
      </c>
      <c r="AE4" s="104" t="s">
        <v>176</v>
      </c>
      <c r="AF4" s="104" t="s">
        <v>177</v>
      </c>
      <c r="AG4" s="104" t="s">
        <v>178</v>
      </c>
      <c r="AH4" s="281" t="s">
        <v>180</v>
      </c>
      <c r="AI4" s="281" t="s">
        <v>180</v>
      </c>
      <c r="AJ4" s="281" t="s">
        <v>180</v>
      </c>
      <c r="AK4" s="281" t="s">
        <v>182</v>
      </c>
      <c r="AL4" s="281" t="s">
        <v>182</v>
      </c>
      <c r="AM4" s="281" t="s">
        <v>182</v>
      </c>
      <c r="AN4" s="281" t="s">
        <v>183</v>
      </c>
      <c r="AO4" s="281" t="s">
        <v>183</v>
      </c>
      <c r="AP4" s="281" t="s">
        <v>183</v>
      </c>
      <c r="AQ4" s="281" t="s">
        <v>183</v>
      </c>
      <c r="AR4" s="104" t="s">
        <v>187</v>
      </c>
      <c r="AS4" s="104" t="s">
        <v>194</v>
      </c>
      <c r="AT4" s="100"/>
      <c r="AV4" s="100"/>
      <c r="AW4" s="100"/>
      <c r="AX4" s="100"/>
      <c r="AY4" s="100"/>
      <c r="AZ4" s="100"/>
    </row>
    <row r="5" spans="2:52" s="46" customFormat="1" ht="11.25">
      <c r="B5" s="47" t="s">
        <v>274</v>
      </c>
      <c r="C5" s="47" t="s">
        <v>275</v>
      </c>
      <c r="D5" s="47" t="s">
        <v>276</v>
      </c>
      <c r="E5" s="47"/>
      <c r="F5" s="47" t="s">
        <v>262</v>
      </c>
      <c r="G5" s="47" t="s">
        <v>263</v>
      </c>
      <c r="H5" s="47" t="s">
        <v>265</v>
      </c>
      <c r="I5" s="47" t="s">
        <v>266</v>
      </c>
      <c r="J5" s="47" t="s">
        <v>267</v>
      </c>
      <c r="K5" s="47" t="s">
        <v>234</v>
      </c>
      <c r="L5" s="47" t="s">
        <v>235</v>
      </c>
      <c r="M5" s="47" t="s">
        <v>237</v>
      </c>
      <c r="N5" s="47" t="s">
        <v>236</v>
      </c>
      <c r="O5" s="47"/>
      <c r="P5" s="47" t="s">
        <v>265</v>
      </c>
      <c r="Q5" s="47" t="s">
        <v>266</v>
      </c>
      <c r="R5" s="47" t="s">
        <v>267</v>
      </c>
      <c r="S5" s="47" t="s">
        <v>265</v>
      </c>
      <c r="T5" s="47" t="s">
        <v>266</v>
      </c>
      <c r="U5" s="47"/>
      <c r="V5" s="47"/>
      <c r="W5" s="47"/>
      <c r="X5" s="47" t="s">
        <v>230</v>
      </c>
      <c r="Y5" s="47" t="s">
        <v>231</v>
      </c>
      <c r="Z5" s="47" t="s">
        <v>232</v>
      </c>
      <c r="AA5" s="47" t="s">
        <v>268</v>
      </c>
      <c r="AB5" s="47"/>
      <c r="AC5" s="47" t="s">
        <v>237</v>
      </c>
      <c r="AD5" s="47" t="s">
        <v>236</v>
      </c>
      <c r="AE5" s="47"/>
      <c r="AF5" s="47"/>
      <c r="AG5" s="47"/>
      <c r="AH5" s="47" t="s">
        <v>218</v>
      </c>
      <c r="AI5" s="47" t="s">
        <v>219</v>
      </c>
      <c r="AJ5" s="47" t="s">
        <v>220</v>
      </c>
      <c r="AK5" s="47" t="s">
        <v>269</v>
      </c>
      <c r="AL5" s="47" t="s">
        <v>270</v>
      </c>
      <c r="AM5" s="47" t="s">
        <v>271</v>
      </c>
      <c r="AN5" s="47" t="s">
        <v>215</v>
      </c>
      <c r="AO5" s="47" t="s">
        <v>216</v>
      </c>
      <c r="AP5" s="47" t="s">
        <v>217</v>
      </c>
      <c r="AQ5" s="47" t="s">
        <v>70</v>
      </c>
      <c r="AR5" s="47"/>
      <c r="AS5" s="47"/>
      <c r="AT5" s="112"/>
      <c r="AU5" s="221" t="s">
        <v>502</v>
      </c>
      <c r="AV5" s="47"/>
      <c r="AW5" s="47"/>
      <c r="AX5" s="113"/>
      <c r="AY5" s="113"/>
      <c r="AZ5" s="47"/>
    </row>
    <row r="6" spans="1:52" s="46" customFormat="1" ht="12.75">
      <c r="A6" s="247"/>
      <c r="E6" s="47"/>
      <c r="O6" s="47"/>
      <c r="U6" s="47"/>
      <c r="V6" s="47"/>
      <c r="W6" s="47"/>
      <c r="AB6" s="47"/>
      <c r="AE6" s="47"/>
      <c r="AF6" s="47"/>
      <c r="AG6" s="47"/>
      <c r="AQ6" s="221" t="s">
        <v>294</v>
      </c>
      <c r="AR6" s="47"/>
      <c r="AS6" s="47"/>
      <c r="AT6" s="35"/>
      <c r="AV6" s="35"/>
      <c r="AW6" s="35"/>
      <c r="AX6" s="35"/>
      <c r="AY6" s="35"/>
      <c r="AZ6" s="35"/>
    </row>
    <row r="7" spans="1:52" s="46" customFormat="1" ht="15.75">
      <c r="A7" s="226" t="s">
        <v>448</v>
      </c>
      <c r="E7" s="47"/>
      <c r="O7" s="47"/>
      <c r="U7" s="47"/>
      <c r="V7" s="47"/>
      <c r="W7" s="47"/>
      <c r="AB7" s="47"/>
      <c r="AE7" s="47"/>
      <c r="AF7" s="47"/>
      <c r="AG7" s="47"/>
      <c r="AQ7" s="221"/>
      <c r="AR7" s="47"/>
      <c r="AS7" s="47"/>
      <c r="AT7" s="35"/>
      <c r="AV7" s="35"/>
      <c r="AW7" s="35"/>
      <c r="AX7" s="35"/>
      <c r="AY7" s="35"/>
      <c r="AZ7" s="35"/>
    </row>
    <row r="8" spans="1:52" s="46" customFormat="1" ht="15.75">
      <c r="A8" s="226" t="s">
        <v>449</v>
      </c>
      <c r="E8" s="47"/>
      <c r="O8" s="47"/>
      <c r="U8" s="47"/>
      <c r="V8" s="47"/>
      <c r="W8" s="47"/>
      <c r="AB8" s="47"/>
      <c r="AE8" s="47"/>
      <c r="AF8" s="47"/>
      <c r="AG8" s="47"/>
      <c r="AR8" s="47"/>
      <c r="AS8" s="47"/>
      <c r="AT8" s="35"/>
      <c r="AV8" s="35"/>
      <c r="AW8" s="35"/>
      <c r="AX8" s="35"/>
      <c r="AY8" s="35"/>
      <c r="AZ8" s="35"/>
    </row>
    <row r="9" spans="1:52" s="46" customFormat="1" ht="12.75" hidden="1">
      <c r="A9" s="246" t="s">
        <v>366</v>
      </c>
      <c r="E9" s="47"/>
      <c r="O9" s="47"/>
      <c r="U9" s="47"/>
      <c r="V9" s="47"/>
      <c r="W9" s="47"/>
      <c r="AB9" s="47"/>
      <c r="AE9" s="47"/>
      <c r="AF9" s="47"/>
      <c r="AG9" s="47"/>
      <c r="AR9" s="47"/>
      <c r="AS9" s="47"/>
      <c r="AT9" s="35"/>
      <c r="AV9" s="35"/>
      <c r="AW9" s="35"/>
      <c r="AX9" s="35"/>
      <c r="AY9" s="35"/>
      <c r="AZ9" s="35"/>
    </row>
    <row r="10" spans="1:55" ht="12.75" hidden="1">
      <c r="A10" s="247" t="s">
        <v>367</v>
      </c>
      <c r="B10" s="30">
        <v>365789.217</v>
      </c>
      <c r="C10" s="30">
        <v>24854.551</v>
      </c>
      <c r="D10" s="30">
        <v>8722</v>
      </c>
      <c r="E10" s="30">
        <v>193438</v>
      </c>
      <c r="F10" s="30">
        <v>26940.39</v>
      </c>
      <c r="G10" s="30">
        <v>18118.89</v>
      </c>
      <c r="H10" s="30">
        <f>((27852778)+(0.7*4280903)-1024074)/1000</f>
        <v>29825.3361</v>
      </c>
      <c r="I10" s="30">
        <f>(350237+(0.7*494901))/1000</f>
        <v>696.6677</v>
      </c>
      <c r="J10" s="30">
        <f>(518429+(0.7*754826))/1000</f>
        <v>1046.8072</v>
      </c>
      <c r="K10" s="30">
        <v>33592</v>
      </c>
      <c r="L10" s="30">
        <v>74654</v>
      </c>
      <c r="M10" s="30">
        <v>16743</v>
      </c>
      <c r="N10" s="30">
        <v>51926</v>
      </c>
      <c r="O10" s="30">
        <v>13778</v>
      </c>
      <c r="P10" s="30">
        <v>575467</v>
      </c>
      <c r="Q10" s="30">
        <v>29213</v>
      </c>
      <c r="R10" s="30">
        <v>44986</v>
      </c>
      <c r="S10" s="30">
        <v>17214</v>
      </c>
      <c r="T10" s="30">
        <v>22891</v>
      </c>
      <c r="U10" s="30">
        <v>49734</v>
      </c>
      <c r="V10" s="30">
        <v>0</v>
      </c>
      <c r="W10" s="30">
        <v>14257</v>
      </c>
      <c r="X10" s="30">
        <v>365277.772</v>
      </c>
      <c r="Y10" s="30">
        <v>453804.386</v>
      </c>
      <c r="Z10" s="30">
        <v>21078.48</v>
      </c>
      <c r="AA10" s="30">
        <v>1134.343</v>
      </c>
      <c r="AB10" s="30">
        <v>135162.755</v>
      </c>
      <c r="AC10" s="30">
        <v>3088.2</v>
      </c>
      <c r="AD10" s="30">
        <v>5560.8</v>
      </c>
      <c r="AE10" s="30">
        <v>1432</v>
      </c>
      <c r="AF10" s="30">
        <v>0</v>
      </c>
      <c r="AG10" s="30">
        <v>111322.4</v>
      </c>
      <c r="AH10" s="30">
        <v>233325.141</v>
      </c>
      <c r="AI10" s="30">
        <v>148657.939</v>
      </c>
      <c r="AJ10" s="30">
        <v>15876.252</v>
      </c>
      <c r="AK10" s="30">
        <f>61769</f>
        <v>61769</v>
      </c>
      <c r="AL10" s="30">
        <f>2027</f>
        <v>2027</v>
      </c>
      <c r="AM10" s="30">
        <f>1680</f>
        <v>1680</v>
      </c>
      <c r="AN10" s="30">
        <v>15823</v>
      </c>
      <c r="AO10" s="30">
        <v>142862</v>
      </c>
      <c r="AP10" s="30">
        <v>80789.2</v>
      </c>
      <c r="AQ10" s="30">
        <v>36</v>
      </c>
      <c r="AR10" s="30">
        <v>0</v>
      </c>
      <c r="AS10" s="30">
        <v>44026</v>
      </c>
      <c r="AT10" s="30"/>
      <c r="AU10" s="42">
        <f>SUM(B10:AS10)</f>
        <v>3458619.5269999993</v>
      </c>
      <c r="AV10" s="29"/>
      <c r="AW10" s="29"/>
      <c r="AX10" s="29"/>
      <c r="AY10" s="29"/>
      <c r="AZ10" s="30"/>
      <c r="BC10" s="29"/>
    </row>
    <row r="11" spans="1:55" ht="12.75" hidden="1">
      <c r="A11" s="247" t="s">
        <v>368</v>
      </c>
      <c r="B11" s="30">
        <v>219168.506</v>
      </c>
      <c r="C11" s="30">
        <v>14031.276</v>
      </c>
      <c r="D11" s="30">
        <v>5111.925</v>
      </c>
      <c r="E11" s="30">
        <v>271157</v>
      </c>
      <c r="F11" s="30">
        <v>25653.649</v>
      </c>
      <c r="G11" s="30">
        <v>86396.932</v>
      </c>
      <c r="H11" s="30">
        <f>(10288805+(0.3*4280903)-438889)/1000</f>
        <v>11134.1869</v>
      </c>
      <c r="I11" s="30">
        <f>(187740+(0.3*494901))/1000</f>
        <v>336.21029999999996</v>
      </c>
      <c r="J11" s="30">
        <f>(259690+(0.3*754826))/1000</f>
        <v>486.13779999999997</v>
      </c>
      <c r="K11" s="30">
        <v>21747</v>
      </c>
      <c r="L11" s="30">
        <v>91766</v>
      </c>
      <c r="M11" s="30">
        <v>25187</v>
      </c>
      <c r="N11" s="30">
        <v>52830</v>
      </c>
      <c r="O11" s="30">
        <v>18930</v>
      </c>
      <c r="P11" s="30">
        <v>656524</v>
      </c>
      <c r="Q11" s="30">
        <v>42749</v>
      </c>
      <c r="R11" s="30">
        <v>92008</v>
      </c>
      <c r="S11" s="30">
        <v>14113</v>
      </c>
      <c r="T11" s="30">
        <v>37995</v>
      </c>
      <c r="U11" s="132">
        <v>76530</v>
      </c>
      <c r="V11" s="30">
        <v>6978.042</v>
      </c>
      <c r="W11" s="30">
        <v>16099</v>
      </c>
      <c r="X11" s="30">
        <v>378466.291</v>
      </c>
      <c r="Y11" s="30">
        <v>632080.831</v>
      </c>
      <c r="Z11" s="30">
        <v>42396.018</v>
      </c>
      <c r="AA11" s="30">
        <v>4100.707</v>
      </c>
      <c r="AB11" s="30">
        <v>0</v>
      </c>
      <c r="AC11" s="30">
        <v>2147.5</v>
      </c>
      <c r="AD11" s="30">
        <v>5706.3</v>
      </c>
      <c r="AE11" s="30">
        <v>10421</v>
      </c>
      <c r="AF11" s="30">
        <v>876</v>
      </c>
      <c r="AG11" s="30">
        <v>132013</v>
      </c>
      <c r="AH11" s="30">
        <v>285421.986</v>
      </c>
      <c r="AI11" s="30">
        <v>222221.883</v>
      </c>
      <c r="AJ11" s="30">
        <v>17705.938</v>
      </c>
      <c r="AK11" s="30">
        <f>19488</f>
        <v>19488</v>
      </c>
      <c r="AL11" s="30">
        <f>493</f>
        <v>493</v>
      </c>
      <c r="AM11" s="30">
        <v>621</v>
      </c>
      <c r="AN11" s="30">
        <v>26973</v>
      </c>
      <c r="AO11" s="30">
        <v>165416</v>
      </c>
      <c r="AP11" s="30">
        <v>176340.2</v>
      </c>
      <c r="AQ11" s="30">
        <v>55</v>
      </c>
      <c r="AR11" s="30">
        <v>2491.4</v>
      </c>
      <c r="AS11" s="30">
        <v>0</v>
      </c>
      <c r="AT11" s="30"/>
      <c r="AU11" s="42">
        <f aca="true" t="shared" si="0" ref="AU11:AU71">SUM(B11:AS11)</f>
        <v>3912366.9189999998</v>
      </c>
      <c r="AV11" s="29"/>
      <c r="AW11" s="29"/>
      <c r="AX11" s="29"/>
      <c r="AY11" s="29"/>
      <c r="AZ11" s="30"/>
      <c r="BB11" s="29"/>
      <c r="BC11" s="29"/>
    </row>
    <row r="12" spans="1:52" ht="12.75" hidden="1">
      <c r="A12" s="247" t="s">
        <v>369</v>
      </c>
      <c r="B12" s="30">
        <v>-236010.759</v>
      </c>
      <c r="C12" s="30">
        <v>149378.921</v>
      </c>
      <c r="D12" s="30">
        <v>63660.325</v>
      </c>
      <c r="E12" s="30">
        <v>0</v>
      </c>
      <c r="F12" s="30">
        <v>-943.392</v>
      </c>
      <c r="G12" s="30">
        <v>-193.963</v>
      </c>
      <c r="H12" s="30">
        <f>-9485052/1000</f>
        <v>-9485.052</v>
      </c>
      <c r="I12" s="30">
        <f>2767955/1000</f>
        <v>2767.955</v>
      </c>
      <c r="J12" s="30">
        <f>4264108/1000</f>
        <v>4264.108</v>
      </c>
      <c r="K12" s="30">
        <v>198</v>
      </c>
      <c r="L12" s="30">
        <v>56545</v>
      </c>
      <c r="M12" s="30">
        <v>6841</v>
      </c>
      <c r="N12" s="30">
        <v>14428</v>
      </c>
      <c r="O12" s="30">
        <v>0</v>
      </c>
      <c r="P12" s="30">
        <v>-829158</v>
      </c>
      <c r="Q12" s="30">
        <v>337728</v>
      </c>
      <c r="R12" s="30">
        <v>1191441</v>
      </c>
      <c r="S12" s="30">
        <v>-17017</v>
      </c>
      <c r="T12" s="30">
        <v>19815</v>
      </c>
      <c r="U12" s="30">
        <v>0</v>
      </c>
      <c r="V12" s="30">
        <v>0</v>
      </c>
      <c r="W12" s="30">
        <v>0</v>
      </c>
      <c r="X12" s="30">
        <v>-80869.72</v>
      </c>
      <c r="Y12" s="30">
        <v>-78751.469</v>
      </c>
      <c r="Z12" s="30">
        <v>-50007.174</v>
      </c>
      <c r="AA12" s="30">
        <v>144725.267</v>
      </c>
      <c r="AB12" s="30">
        <v>0</v>
      </c>
      <c r="AC12" s="30">
        <v>-7.4</v>
      </c>
      <c r="AD12" s="30">
        <v>-52.6</v>
      </c>
      <c r="AE12" s="30">
        <v>-323</v>
      </c>
      <c r="AF12" s="30">
        <v>0</v>
      </c>
      <c r="AG12" s="30">
        <v>58972.4</v>
      </c>
      <c r="AH12" s="30">
        <v>51666.772</v>
      </c>
      <c r="AI12" s="30">
        <v>-45355.618</v>
      </c>
      <c r="AJ12" s="30">
        <v>-2156.535</v>
      </c>
      <c r="AK12" s="30">
        <v>-32837</v>
      </c>
      <c r="AL12" s="30">
        <f>17366</f>
        <v>17366</v>
      </c>
      <c r="AM12" s="30">
        <f>9291</f>
        <v>9291</v>
      </c>
      <c r="AN12" s="30">
        <v>114792</v>
      </c>
      <c r="AO12" s="30">
        <v>784875</v>
      </c>
      <c r="AP12" s="30">
        <v>421304</v>
      </c>
      <c r="AQ12" s="30">
        <v>60490</v>
      </c>
      <c r="AR12" s="30">
        <v>0</v>
      </c>
      <c r="AS12" s="30">
        <v>0</v>
      </c>
      <c r="AT12" s="30"/>
      <c r="AU12" s="42">
        <f t="shared" si="0"/>
        <v>2127381.066</v>
      </c>
      <c r="AV12" s="29"/>
      <c r="AW12" s="29"/>
      <c r="AX12" s="29"/>
      <c r="AY12" s="29"/>
      <c r="AZ12" s="30"/>
    </row>
    <row r="13" spans="1:52" ht="12.75" hidden="1">
      <c r="A13" s="247" t="s">
        <v>370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387025</v>
      </c>
      <c r="Q13" s="30">
        <v>6898</v>
      </c>
      <c r="R13" s="30">
        <v>4186</v>
      </c>
      <c r="S13" s="30"/>
      <c r="T13" s="30"/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/>
      <c r="AU13" s="42">
        <f t="shared" si="0"/>
        <v>398109</v>
      </c>
      <c r="AV13" s="29"/>
      <c r="AW13" s="29"/>
      <c r="AX13" s="29"/>
      <c r="AY13" s="29"/>
      <c r="AZ13" s="30"/>
    </row>
    <row r="14" spans="1:51" ht="12.75" hidden="1">
      <c r="A14" s="247"/>
      <c r="U14" s="33"/>
      <c r="X14" s="30"/>
      <c r="Y14" s="30"/>
      <c r="Z14" s="30"/>
      <c r="AA14" s="30"/>
      <c r="AV14" s="29"/>
      <c r="AW14" s="29"/>
      <c r="AX14" s="29"/>
      <c r="AY14" s="29"/>
    </row>
    <row r="15" spans="1:52" ht="12.75">
      <c r="A15" s="260" t="s">
        <v>366</v>
      </c>
      <c r="B15" s="29">
        <f aca="true" t="shared" si="1" ref="B15:AA15">SUM(B10:B14)</f>
        <v>348946.96400000004</v>
      </c>
      <c r="C15" s="29">
        <f t="shared" si="1"/>
        <v>188264.748</v>
      </c>
      <c r="D15" s="29">
        <f t="shared" si="1"/>
        <v>77494.25</v>
      </c>
      <c r="E15" s="29">
        <f t="shared" si="1"/>
        <v>464595</v>
      </c>
      <c r="F15" s="29">
        <f t="shared" si="1"/>
        <v>51650.647000000004</v>
      </c>
      <c r="G15" s="29">
        <f t="shared" si="1"/>
        <v>104321.859</v>
      </c>
      <c r="H15" s="29">
        <f t="shared" si="1"/>
        <v>31474.471</v>
      </c>
      <c r="I15" s="29">
        <f t="shared" si="1"/>
        <v>3800.8329999999996</v>
      </c>
      <c r="J15" s="29">
        <f t="shared" si="1"/>
        <v>5797.053</v>
      </c>
      <c r="K15" s="29">
        <f t="shared" si="1"/>
        <v>55537</v>
      </c>
      <c r="L15" s="29">
        <f t="shared" si="1"/>
        <v>222965</v>
      </c>
      <c r="M15" s="29">
        <f t="shared" si="1"/>
        <v>48771</v>
      </c>
      <c r="N15" s="29">
        <f t="shared" si="1"/>
        <v>119184</v>
      </c>
      <c r="O15" s="29">
        <f t="shared" si="1"/>
        <v>32708</v>
      </c>
      <c r="P15" s="29">
        <f t="shared" si="1"/>
        <v>789858</v>
      </c>
      <c r="Q15" s="29">
        <f t="shared" si="1"/>
        <v>416588</v>
      </c>
      <c r="R15" s="29">
        <f t="shared" si="1"/>
        <v>1332621</v>
      </c>
      <c r="S15" s="29">
        <f t="shared" si="1"/>
        <v>14310</v>
      </c>
      <c r="T15" s="29">
        <f t="shared" si="1"/>
        <v>80701</v>
      </c>
      <c r="U15" s="29">
        <f t="shared" si="1"/>
        <v>126264</v>
      </c>
      <c r="V15" s="29">
        <f t="shared" si="1"/>
        <v>6978.042</v>
      </c>
      <c r="W15" s="29">
        <f t="shared" si="1"/>
        <v>30356</v>
      </c>
      <c r="X15" s="29">
        <f t="shared" si="1"/>
        <v>662874.3430000001</v>
      </c>
      <c r="Y15" s="29">
        <f t="shared" si="1"/>
        <v>1007133.7479999999</v>
      </c>
      <c r="Z15" s="29">
        <f t="shared" si="1"/>
        <v>13467.323999999993</v>
      </c>
      <c r="AA15" s="29">
        <f t="shared" si="1"/>
        <v>149960.31699999998</v>
      </c>
      <c r="AB15" s="29">
        <f aca="true" t="shared" si="2" ref="AB15:AS15">SUM(AB10:AB14)</f>
        <v>135162.755</v>
      </c>
      <c r="AC15" s="29">
        <f t="shared" si="2"/>
        <v>5228.3</v>
      </c>
      <c r="AD15" s="29">
        <f t="shared" si="2"/>
        <v>11214.5</v>
      </c>
      <c r="AE15" s="29">
        <f t="shared" si="2"/>
        <v>11530</v>
      </c>
      <c r="AF15" s="29">
        <f t="shared" si="2"/>
        <v>876</v>
      </c>
      <c r="AG15" s="29">
        <f t="shared" si="2"/>
        <v>302307.8</v>
      </c>
      <c r="AH15" s="29">
        <f t="shared" si="2"/>
        <v>570413.899</v>
      </c>
      <c r="AI15" s="29">
        <f t="shared" si="2"/>
        <v>325524.204</v>
      </c>
      <c r="AJ15" s="29">
        <f t="shared" si="2"/>
        <v>31425.655000000002</v>
      </c>
      <c r="AK15" s="29">
        <f t="shared" si="2"/>
        <v>48420</v>
      </c>
      <c r="AL15" s="29">
        <f t="shared" si="2"/>
        <v>19886</v>
      </c>
      <c r="AM15" s="29">
        <f t="shared" si="2"/>
        <v>11592</v>
      </c>
      <c r="AN15" s="29">
        <f t="shared" si="2"/>
        <v>157588</v>
      </c>
      <c r="AO15" s="29">
        <f t="shared" si="2"/>
        <v>1093153</v>
      </c>
      <c r="AP15" s="29">
        <f t="shared" si="2"/>
        <v>678433.4</v>
      </c>
      <c r="AQ15" s="29">
        <f t="shared" si="2"/>
        <v>60581</v>
      </c>
      <c r="AR15" s="29">
        <f t="shared" si="2"/>
        <v>2491.4</v>
      </c>
      <c r="AS15" s="29">
        <f t="shared" si="2"/>
        <v>44026</v>
      </c>
      <c r="AT15" s="29"/>
      <c r="AU15" s="42">
        <f t="shared" si="0"/>
        <v>9896476.512000002</v>
      </c>
      <c r="AV15" s="29"/>
      <c r="AW15" s="29"/>
      <c r="AX15" s="29"/>
      <c r="AY15" s="29"/>
      <c r="AZ15" s="29"/>
    </row>
    <row r="16" spans="1:51" ht="13.5" hidden="1">
      <c r="A16" s="250"/>
      <c r="U16" s="33"/>
      <c r="X16" s="30"/>
      <c r="Y16" s="30"/>
      <c r="Z16" s="30"/>
      <c r="AA16" s="30"/>
      <c r="AV16" s="29"/>
      <c r="AW16" s="29"/>
      <c r="AX16" s="29"/>
      <c r="AY16" s="29"/>
    </row>
    <row r="17" spans="1:51" ht="12.75" hidden="1">
      <c r="A17" s="246" t="s">
        <v>371</v>
      </c>
      <c r="U17" s="33"/>
      <c r="X17" s="30"/>
      <c r="Y17" s="30"/>
      <c r="Z17" s="30"/>
      <c r="AA17" s="30"/>
      <c r="AV17" s="29"/>
      <c r="AW17" s="29"/>
      <c r="AX17" s="29"/>
      <c r="AY17" s="29"/>
    </row>
    <row r="18" spans="1:52" ht="12.75" hidden="1">
      <c r="A18" s="247" t="s">
        <v>372</v>
      </c>
      <c r="B18" s="30">
        <v>16574.482</v>
      </c>
      <c r="C18" s="30">
        <v>193.072</v>
      </c>
      <c r="D18" s="30">
        <v>496.608</v>
      </c>
      <c r="E18" s="30">
        <v>13881</v>
      </c>
      <c r="F18" s="30">
        <v>677.961</v>
      </c>
      <c r="G18" s="30">
        <v>463.512</v>
      </c>
      <c r="H18" s="30">
        <f>517342/1000</f>
        <v>517.342</v>
      </c>
      <c r="I18" s="30">
        <v>0</v>
      </c>
      <c r="J18" s="30">
        <v>0</v>
      </c>
      <c r="K18" s="30">
        <v>1031</v>
      </c>
      <c r="L18" s="30">
        <v>6875</v>
      </c>
      <c r="M18" s="30">
        <v>2270</v>
      </c>
      <c r="N18" s="30">
        <v>311</v>
      </c>
      <c r="O18" s="30">
        <v>123</v>
      </c>
      <c r="P18" s="30">
        <v>228543</v>
      </c>
      <c r="Q18" s="30">
        <v>2639</v>
      </c>
      <c r="R18" s="30">
        <v>61027</v>
      </c>
      <c r="S18" s="30">
        <v>0</v>
      </c>
      <c r="T18" s="30">
        <v>0</v>
      </c>
      <c r="U18" s="132">
        <v>20164</v>
      </c>
      <c r="V18" s="30">
        <v>0</v>
      </c>
      <c r="W18" s="30">
        <v>0</v>
      </c>
      <c r="X18" s="30">
        <v>3996.111</v>
      </c>
      <c r="Y18" s="30">
        <v>94546.997</v>
      </c>
      <c r="Z18" s="30">
        <v>70825.221</v>
      </c>
      <c r="AA18" s="30">
        <v>632.094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31261</v>
      </c>
      <c r="AH18" s="30">
        <v>5424.751</v>
      </c>
      <c r="AI18" s="30">
        <v>19636.561</v>
      </c>
      <c r="AJ18" s="30">
        <v>63726.048</v>
      </c>
      <c r="AK18" s="30">
        <v>628</v>
      </c>
      <c r="AL18" s="30">
        <v>0</v>
      </c>
      <c r="AM18" s="30">
        <v>0</v>
      </c>
      <c r="AN18" s="30">
        <v>20383</v>
      </c>
      <c r="AO18" s="30">
        <v>1314</v>
      </c>
      <c r="AP18" s="30">
        <v>1560</v>
      </c>
      <c r="AQ18" s="30">
        <v>0</v>
      </c>
      <c r="AR18" s="30">
        <v>0</v>
      </c>
      <c r="AS18" s="30">
        <v>14374</v>
      </c>
      <c r="AT18" s="30"/>
      <c r="AU18" s="42">
        <f t="shared" si="0"/>
        <v>684094.76</v>
      </c>
      <c r="AV18" s="29"/>
      <c r="AW18" s="29"/>
      <c r="AX18" s="29"/>
      <c r="AY18" s="29"/>
      <c r="AZ18" s="30"/>
    </row>
    <row r="19" spans="1:52" ht="12.75" hidden="1">
      <c r="A19" s="247" t="s">
        <v>373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/>
      <c r="AU19" s="42">
        <f t="shared" si="0"/>
        <v>0</v>
      </c>
      <c r="AV19" s="29"/>
      <c r="AW19" s="29"/>
      <c r="AX19" s="29"/>
      <c r="AY19" s="29"/>
      <c r="AZ19" s="30"/>
    </row>
    <row r="20" spans="1:52" ht="14.25" customHeight="1" hidden="1">
      <c r="A20" s="247" t="s">
        <v>374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/>
      <c r="AU20" s="42">
        <f t="shared" si="0"/>
        <v>0</v>
      </c>
      <c r="AV20" s="29"/>
      <c r="AW20" s="29"/>
      <c r="AX20" s="29"/>
      <c r="AY20" s="29"/>
      <c r="AZ20" s="30"/>
    </row>
    <row r="21" spans="1:52" ht="12.75" hidden="1">
      <c r="A21" s="247" t="s">
        <v>375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248</v>
      </c>
      <c r="AP21" s="30">
        <v>95</v>
      </c>
      <c r="AQ21" s="30">
        <v>0</v>
      </c>
      <c r="AR21" s="30">
        <v>0</v>
      </c>
      <c r="AS21" s="30">
        <v>0</v>
      </c>
      <c r="AT21" s="30"/>
      <c r="AU21" s="42">
        <f t="shared" si="0"/>
        <v>343</v>
      </c>
      <c r="AV21" s="29"/>
      <c r="AW21" s="29"/>
      <c r="AX21" s="29"/>
      <c r="AY21" s="29"/>
      <c r="AZ21" s="30"/>
    </row>
    <row r="22" spans="1:51" ht="12.75" hidden="1">
      <c r="A22" s="247"/>
      <c r="U22" s="33"/>
      <c r="X22" s="30"/>
      <c r="Y22" s="30"/>
      <c r="Z22" s="30"/>
      <c r="AA22" s="30"/>
      <c r="AV22" s="29"/>
      <c r="AW22" s="29"/>
      <c r="AX22" s="29"/>
      <c r="AY22" s="29"/>
    </row>
    <row r="23" spans="1:52" ht="12.75">
      <c r="A23" s="260" t="s">
        <v>371</v>
      </c>
      <c r="B23" s="29">
        <f>SUM(B18:B22)</f>
        <v>16574.482</v>
      </c>
      <c r="C23" s="29">
        <f aca="true" t="shared" si="3" ref="C23:AS23">SUM(C18:C22)</f>
        <v>193.072</v>
      </c>
      <c r="D23" s="29">
        <f t="shared" si="3"/>
        <v>496.608</v>
      </c>
      <c r="E23" s="29">
        <f t="shared" si="3"/>
        <v>13881</v>
      </c>
      <c r="F23" s="29">
        <f t="shared" si="3"/>
        <v>677.961</v>
      </c>
      <c r="G23" s="29">
        <f t="shared" si="3"/>
        <v>463.512</v>
      </c>
      <c r="H23" s="29">
        <f t="shared" si="3"/>
        <v>517.342</v>
      </c>
      <c r="I23" s="29">
        <f t="shared" si="3"/>
        <v>0</v>
      </c>
      <c r="J23" s="29">
        <f t="shared" si="3"/>
        <v>0</v>
      </c>
      <c r="K23" s="29">
        <f t="shared" si="3"/>
        <v>1031</v>
      </c>
      <c r="L23" s="29">
        <f t="shared" si="3"/>
        <v>6875</v>
      </c>
      <c r="M23" s="29">
        <f t="shared" si="3"/>
        <v>2270</v>
      </c>
      <c r="N23" s="29">
        <f t="shared" si="3"/>
        <v>311</v>
      </c>
      <c r="O23" s="29">
        <f t="shared" si="3"/>
        <v>123</v>
      </c>
      <c r="P23" s="29">
        <f t="shared" si="3"/>
        <v>228543</v>
      </c>
      <c r="Q23" s="29">
        <f t="shared" si="3"/>
        <v>2639</v>
      </c>
      <c r="R23" s="29">
        <f t="shared" si="3"/>
        <v>61027</v>
      </c>
      <c r="S23" s="29">
        <f t="shared" si="3"/>
        <v>0</v>
      </c>
      <c r="T23" s="29">
        <f t="shared" si="3"/>
        <v>0</v>
      </c>
      <c r="U23" s="29">
        <f t="shared" si="3"/>
        <v>20164</v>
      </c>
      <c r="V23" s="29">
        <f t="shared" si="3"/>
        <v>0</v>
      </c>
      <c r="W23" s="29">
        <f t="shared" si="3"/>
        <v>0</v>
      </c>
      <c r="X23" s="29">
        <f t="shared" si="3"/>
        <v>3996.111</v>
      </c>
      <c r="Y23" s="29">
        <f t="shared" si="3"/>
        <v>94546.997</v>
      </c>
      <c r="Z23" s="29">
        <f t="shared" si="3"/>
        <v>70825.221</v>
      </c>
      <c r="AA23" s="29">
        <f t="shared" si="3"/>
        <v>632.094</v>
      </c>
      <c r="AB23" s="29">
        <f t="shared" si="3"/>
        <v>0</v>
      </c>
      <c r="AC23" s="29">
        <f t="shared" si="3"/>
        <v>0</v>
      </c>
      <c r="AD23" s="29">
        <f t="shared" si="3"/>
        <v>0</v>
      </c>
      <c r="AE23" s="29">
        <f t="shared" si="3"/>
        <v>0</v>
      </c>
      <c r="AF23" s="29">
        <f t="shared" si="3"/>
        <v>0</v>
      </c>
      <c r="AG23" s="29">
        <f t="shared" si="3"/>
        <v>31261</v>
      </c>
      <c r="AH23" s="29">
        <f t="shared" si="3"/>
        <v>5424.751</v>
      </c>
      <c r="AI23" s="29">
        <f t="shared" si="3"/>
        <v>19636.561</v>
      </c>
      <c r="AJ23" s="29">
        <f t="shared" si="3"/>
        <v>63726.048</v>
      </c>
      <c r="AK23" s="29">
        <f t="shared" si="3"/>
        <v>628</v>
      </c>
      <c r="AL23" s="29">
        <f t="shared" si="3"/>
        <v>0</v>
      </c>
      <c r="AM23" s="29">
        <f t="shared" si="3"/>
        <v>0</v>
      </c>
      <c r="AN23" s="29">
        <f t="shared" si="3"/>
        <v>20383</v>
      </c>
      <c r="AO23" s="29">
        <f t="shared" si="3"/>
        <v>1562</v>
      </c>
      <c r="AP23" s="29">
        <f t="shared" si="3"/>
        <v>1655</v>
      </c>
      <c r="AQ23" s="29">
        <f t="shared" si="3"/>
        <v>0</v>
      </c>
      <c r="AR23" s="29">
        <f t="shared" si="3"/>
        <v>0</v>
      </c>
      <c r="AS23" s="29">
        <f t="shared" si="3"/>
        <v>14374</v>
      </c>
      <c r="AT23" s="29"/>
      <c r="AU23" s="42">
        <f t="shared" si="0"/>
        <v>684437.76</v>
      </c>
      <c r="AV23" s="29"/>
      <c r="AW23" s="29"/>
      <c r="AX23" s="29"/>
      <c r="AY23" s="29"/>
      <c r="AZ23" s="29"/>
    </row>
    <row r="24" spans="1:52" ht="13.5" hidden="1">
      <c r="A24" s="250"/>
      <c r="U24" s="33"/>
      <c r="X24" s="30"/>
      <c r="Y24" s="30"/>
      <c r="Z24" s="30"/>
      <c r="AA24" s="30"/>
      <c r="AV24" s="29"/>
      <c r="AW24" s="29"/>
      <c r="AX24" s="29"/>
      <c r="AY24" s="29"/>
      <c r="AZ24" s="29"/>
    </row>
    <row r="25" spans="1:51" ht="12.75" hidden="1">
      <c r="A25" s="246" t="s">
        <v>376</v>
      </c>
      <c r="U25" s="33"/>
      <c r="X25" s="30"/>
      <c r="Y25" s="30"/>
      <c r="Z25" s="30"/>
      <c r="AA25" s="30"/>
      <c r="AV25" s="29"/>
      <c r="AW25" s="29"/>
      <c r="AX25" s="29"/>
      <c r="AY25" s="29"/>
    </row>
    <row r="26" spans="1:52" ht="12.75" hidden="1">
      <c r="A26" s="247" t="s">
        <v>377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/>
      <c r="AU26" s="42">
        <f t="shared" si="0"/>
        <v>0</v>
      </c>
      <c r="AV26" s="29"/>
      <c r="AW26" s="29"/>
      <c r="AX26" s="29"/>
      <c r="AY26" s="29"/>
      <c r="AZ26" s="30"/>
    </row>
    <row r="27" spans="1:52" ht="12.75" hidden="1">
      <c r="A27" s="247" t="s">
        <v>378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/>
      <c r="AU27" s="42">
        <f t="shared" si="0"/>
        <v>0</v>
      </c>
      <c r="AV27" s="29"/>
      <c r="AW27" s="29"/>
      <c r="AX27" s="29"/>
      <c r="AY27" s="29"/>
      <c r="AZ27" s="30"/>
    </row>
    <row r="28" spans="1:52" ht="12.75" hidden="1">
      <c r="A28" s="247" t="s">
        <v>379</v>
      </c>
      <c r="B28" s="30">
        <v>-49235.016</v>
      </c>
      <c r="C28" s="30">
        <v>-3.529</v>
      </c>
      <c r="D28" s="30">
        <v>0</v>
      </c>
      <c r="E28" s="30">
        <v>0</v>
      </c>
      <c r="F28" s="30">
        <v>4152.994</v>
      </c>
      <c r="G28" s="30">
        <v>913.199</v>
      </c>
      <c r="H28" s="30">
        <v>-6.126</v>
      </c>
      <c r="I28" s="30">
        <v>0</v>
      </c>
      <c r="J28" s="30">
        <v>0</v>
      </c>
      <c r="K28" s="30">
        <v>0</v>
      </c>
      <c r="L28" s="30">
        <v>0</v>
      </c>
      <c r="M28" s="30">
        <v>2742</v>
      </c>
      <c r="N28" s="30">
        <v>2891</v>
      </c>
      <c r="O28" s="30">
        <v>0</v>
      </c>
      <c r="P28" s="30">
        <v>-349746</v>
      </c>
      <c r="Q28" s="30">
        <v>-1005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/>
      <c r="X28" s="30">
        <v>97.377</v>
      </c>
      <c r="Y28" s="30">
        <v>-1030.353</v>
      </c>
      <c r="Z28" s="30">
        <v>0</v>
      </c>
      <c r="AA28" s="30">
        <v>0</v>
      </c>
      <c r="AB28" s="30">
        <v>-745.772</v>
      </c>
      <c r="AC28" s="30">
        <v>0</v>
      </c>
      <c r="AD28" s="30">
        <v>0</v>
      </c>
      <c r="AE28" s="30">
        <v>0</v>
      </c>
      <c r="AF28" s="30">
        <v>0</v>
      </c>
      <c r="AG28" s="30">
        <v>-779</v>
      </c>
      <c r="AH28" s="30">
        <v>2609.911</v>
      </c>
      <c r="AI28" s="30">
        <v>1371.317</v>
      </c>
      <c r="AJ28" s="30">
        <v>551.22</v>
      </c>
      <c r="AK28" s="30">
        <v>-69</v>
      </c>
      <c r="AL28" s="30">
        <v>0</v>
      </c>
      <c r="AM28" s="30">
        <v>0</v>
      </c>
      <c r="AN28" s="30">
        <v>-183</v>
      </c>
      <c r="AO28" s="30">
        <v>-3365</v>
      </c>
      <c r="AP28" s="30">
        <v>-2579</v>
      </c>
      <c r="AQ28" s="30">
        <v>0</v>
      </c>
      <c r="AR28" s="30">
        <v>0</v>
      </c>
      <c r="AS28" s="30">
        <v>273</v>
      </c>
      <c r="AT28" s="30"/>
      <c r="AU28" s="42">
        <f t="shared" si="0"/>
        <v>-393144.77800000005</v>
      </c>
      <c r="AV28" s="29"/>
      <c r="AW28" s="29"/>
      <c r="AX28" s="29"/>
      <c r="AY28" s="29"/>
      <c r="AZ28" s="30"/>
    </row>
    <row r="29" spans="1:52" ht="12.75" hidden="1">
      <c r="A29" s="247" t="s">
        <v>380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/>
      <c r="AU29" s="42">
        <f t="shared" si="0"/>
        <v>0</v>
      </c>
      <c r="AV29" s="29"/>
      <c r="AW29" s="29"/>
      <c r="AX29" s="29"/>
      <c r="AY29" s="29"/>
      <c r="AZ29" s="30"/>
    </row>
    <row r="30" spans="1:52" ht="12.75" hidden="1">
      <c r="A30" s="247" t="s">
        <v>381</v>
      </c>
      <c r="B30" s="30">
        <v>-48696.713</v>
      </c>
      <c r="C30" s="30">
        <v>6643.548</v>
      </c>
      <c r="D30" s="30">
        <v>2278.077</v>
      </c>
      <c r="E30" s="30">
        <v>0</v>
      </c>
      <c r="F30" s="30">
        <v>1995.706</v>
      </c>
      <c r="G30" s="30">
        <v>2158.682</v>
      </c>
      <c r="H30" s="30">
        <f>-1857920/1000</f>
        <v>-1857.92</v>
      </c>
      <c r="I30" s="30">
        <f>126655/1000</f>
        <v>126.655</v>
      </c>
      <c r="J30" s="30">
        <f>122387/1000</f>
        <v>122.387</v>
      </c>
      <c r="K30" s="30">
        <v>-1672</v>
      </c>
      <c r="L30" s="30">
        <v>24904</v>
      </c>
      <c r="M30" s="30">
        <v>10627</v>
      </c>
      <c r="N30" s="30">
        <v>21210</v>
      </c>
      <c r="O30" s="30">
        <v>620</v>
      </c>
      <c r="P30" s="30">
        <v>-908154</v>
      </c>
      <c r="Q30" s="30">
        <v>19856</v>
      </c>
      <c r="R30" s="30">
        <v>69924</v>
      </c>
      <c r="S30" s="30">
        <v>-10090</v>
      </c>
      <c r="T30" s="30">
        <v>2310</v>
      </c>
      <c r="U30" s="132">
        <v>0</v>
      </c>
      <c r="V30" s="30">
        <v>105.314</v>
      </c>
      <c r="W30" s="30">
        <v>3159</v>
      </c>
      <c r="X30" s="30">
        <v>-230411.679</v>
      </c>
      <c r="Y30" s="30">
        <v>-349958.571</v>
      </c>
      <c r="Z30" s="30">
        <v>27352.304</v>
      </c>
      <c r="AA30" s="30">
        <v>964.224</v>
      </c>
      <c r="AB30" s="30">
        <v>21953.231</v>
      </c>
      <c r="AC30" s="30">
        <v>434.3</v>
      </c>
      <c r="AD30" s="30">
        <v>631.8</v>
      </c>
      <c r="AE30" s="30">
        <v>251</v>
      </c>
      <c r="AF30" s="30">
        <v>-98</v>
      </c>
      <c r="AG30" s="30">
        <v>-271912</v>
      </c>
      <c r="AH30" s="30">
        <v>-34211.305</v>
      </c>
      <c r="AI30" s="30">
        <v>58891.199</v>
      </c>
      <c r="AJ30" s="30">
        <v>45095.136</v>
      </c>
      <c r="AK30" s="30">
        <v>-8507</v>
      </c>
      <c r="AL30" s="30">
        <v>881</v>
      </c>
      <c r="AM30" s="30">
        <v>348</v>
      </c>
      <c r="AN30" s="30">
        <v>11776</v>
      </c>
      <c r="AO30" s="30">
        <v>-12065</v>
      </c>
      <c r="AP30" s="30">
        <v>-44207</v>
      </c>
      <c r="AQ30" s="30">
        <v>299</v>
      </c>
      <c r="AR30" s="30">
        <v>-57.8</v>
      </c>
      <c r="AS30" s="30">
        <v>71051</v>
      </c>
      <c r="AT30" s="30"/>
      <c r="AU30" s="42">
        <f t="shared" si="0"/>
        <v>-1515930.425</v>
      </c>
      <c r="AV30" s="29"/>
      <c r="AW30" s="29"/>
      <c r="AX30" s="29"/>
      <c r="AY30" s="29"/>
      <c r="AZ30" s="30"/>
    </row>
    <row r="31" spans="1:52" ht="25.5" hidden="1">
      <c r="A31" s="247" t="s">
        <v>382</v>
      </c>
      <c r="B31" s="30">
        <v>0</v>
      </c>
      <c r="C31" s="30">
        <v>0</v>
      </c>
      <c r="D31" s="30">
        <v>0</v>
      </c>
      <c r="E31" s="30">
        <v>0</v>
      </c>
      <c r="F31" s="30">
        <v>3675.677</v>
      </c>
      <c r="G31" s="30">
        <v>5256.817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132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/>
      <c r="AU31" s="42">
        <f t="shared" si="0"/>
        <v>8932.494</v>
      </c>
      <c r="AV31" s="29"/>
      <c r="AW31" s="29"/>
      <c r="AX31" s="29"/>
      <c r="AY31" s="29"/>
      <c r="AZ31" s="30"/>
    </row>
    <row r="32" spans="1:52" ht="12.75" hidden="1">
      <c r="A32" s="247" t="s">
        <v>383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132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/>
      <c r="AU32" s="42">
        <f t="shared" si="0"/>
        <v>0</v>
      </c>
      <c r="AV32" s="29"/>
      <c r="AW32" s="29"/>
      <c r="AX32" s="29"/>
      <c r="AY32" s="29"/>
      <c r="AZ32" s="30"/>
    </row>
    <row r="33" spans="1:52" ht="12.75" hidden="1">
      <c r="A33" s="247" t="s">
        <v>384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132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-885.18</v>
      </c>
      <c r="AI33" s="30">
        <v>-1042.011</v>
      </c>
      <c r="AJ33" s="30">
        <v>-16.126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-683</v>
      </c>
      <c r="AT33" s="30"/>
      <c r="AU33" s="42">
        <f t="shared" si="0"/>
        <v>-2626.317</v>
      </c>
      <c r="AV33" s="29"/>
      <c r="AW33" s="29"/>
      <c r="AX33" s="29"/>
      <c r="AY33" s="29"/>
      <c r="AZ33" s="30"/>
    </row>
    <row r="34" spans="1:52" ht="12.75" hidden="1">
      <c r="A34" s="247" t="s">
        <v>385</v>
      </c>
      <c r="B34" s="30">
        <v>0</v>
      </c>
      <c r="C34" s="30">
        <v>0</v>
      </c>
      <c r="D34" s="30">
        <v>0</v>
      </c>
      <c r="E34" s="30">
        <v>-5867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239</v>
      </c>
      <c r="N34" s="30">
        <v>580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132">
        <v>28888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/>
      <c r="AU34" s="42">
        <f t="shared" si="0"/>
        <v>23840</v>
      </c>
      <c r="AV34" s="29"/>
      <c r="AW34" s="29"/>
      <c r="AX34" s="29"/>
      <c r="AY34" s="29"/>
      <c r="AZ34" s="30"/>
    </row>
    <row r="35" spans="1:51" ht="12.75" hidden="1">
      <c r="A35" s="247" t="s">
        <v>386</v>
      </c>
      <c r="U35" s="33"/>
      <c r="X35" s="30"/>
      <c r="Y35" s="30"/>
      <c r="Z35" s="30"/>
      <c r="AA35" s="30"/>
      <c r="AB35" s="30"/>
      <c r="AC35" s="30"/>
      <c r="AV35" s="29"/>
      <c r="AW35" s="29"/>
      <c r="AX35" s="29"/>
      <c r="AY35" s="29"/>
    </row>
    <row r="36" spans="1:56" ht="12.75">
      <c r="A36" s="260" t="s">
        <v>376</v>
      </c>
      <c r="B36" s="29">
        <f aca="true" t="shared" si="4" ref="B36:AA36">SUM(B26:B34)</f>
        <v>-97931.729</v>
      </c>
      <c r="C36" s="29">
        <f t="shared" si="4"/>
        <v>6640.018999999999</v>
      </c>
      <c r="D36" s="29">
        <f t="shared" si="4"/>
        <v>2278.077</v>
      </c>
      <c r="E36" s="29">
        <f t="shared" si="4"/>
        <v>-5867</v>
      </c>
      <c r="F36" s="29">
        <f t="shared" si="4"/>
        <v>9824.377</v>
      </c>
      <c r="G36" s="29">
        <f t="shared" si="4"/>
        <v>8328.698</v>
      </c>
      <c r="H36" s="29">
        <f t="shared" si="4"/>
        <v>-1864.046</v>
      </c>
      <c r="I36" s="29">
        <f t="shared" si="4"/>
        <v>126.655</v>
      </c>
      <c r="J36" s="29">
        <f t="shared" si="4"/>
        <v>122.387</v>
      </c>
      <c r="K36" s="29">
        <f t="shared" si="4"/>
        <v>-1672</v>
      </c>
      <c r="L36" s="29">
        <f t="shared" si="4"/>
        <v>24904</v>
      </c>
      <c r="M36" s="29">
        <f t="shared" si="4"/>
        <v>13608</v>
      </c>
      <c r="N36" s="29">
        <f t="shared" si="4"/>
        <v>24681</v>
      </c>
      <c r="O36" s="29">
        <f t="shared" si="4"/>
        <v>620</v>
      </c>
      <c r="P36" s="29">
        <f t="shared" si="4"/>
        <v>-1257900</v>
      </c>
      <c r="Q36" s="29">
        <f t="shared" si="4"/>
        <v>18851</v>
      </c>
      <c r="R36" s="29">
        <f t="shared" si="4"/>
        <v>69924</v>
      </c>
      <c r="S36" s="29">
        <f t="shared" si="4"/>
        <v>-10090</v>
      </c>
      <c r="T36" s="29">
        <f t="shared" si="4"/>
        <v>2310</v>
      </c>
      <c r="U36" s="29">
        <f t="shared" si="4"/>
        <v>28888</v>
      </c>
      <c r="V36" s="29">
        <f t="shared" si="4"/>
        <v>105.314</v>
      </c>
      <c r="W36" s="29">
        <f t="shared" si="4"/>
        <v>3159</v>
      </c>
      <c r="X36" s="29">
        <f t="shared" si="4"/>
        <v>-230314.302</v>
      </c>
      <c r="Y36" s="29">
        <f t="shared" si="4"/>
        <v>-350988.924</v>
      </c>
      <c r="Z36" s="29">
        <f t="shared" si="4"/>
        <v>27352.304</v>
      </c>
      <c r="AA36" s="29">
        <f t="shared" si="4"/>
        <v>964.224</v>
      </c>
      <c r="AB36" s="29">
        <f aca="true" t="shared" si="5" ref="AB36:AS36">SUM(AB26:AB34)</f>
        <v>21207.459</v>
      </c>
      <c r="AC36" s="29">
        <f t="shared" si="5"/>
        <v>434.3</v>
      </c>
      <c r="AD36" s="29">
        <f t="shared" si="5"/>
        <v>631.8</v>
      </c>
      <c r="AE36" s="29">
        <f t="shared" si="5"/>
        <v>251</v>
      </c>
      <c r="AF36" s="29">
        <f t="shared" si="5"/>
        <v>-98</v>
      </c>
      <c r="AG36" s="29">
        <f t="shared" si="5"/>
        <v>-272691</v>
      </c>
      <c r="AH36" s="29">
        <f t="shared" si="5"/>
        <v>-32486.574</v>
      </c>
      <c r="AI36" s="29">
        <f t="shared" si="5"/>
        <v>59220.505000000005</v>
      </c>
      <c r="AJ36" s="29">
        <f t="shared" si="5"/>
        <v>45630.23</v>
      </c>
      <c r="AK36" s="29">
        <f t="shared" si="5"/>
        <v>-8576</v>
      </c>
      <c r="AL36" s="29">
        <f t="shared" si="5"/>
        <v>881</v>
      </c>
      <c r="AM36" s="29">
        <f t="shared" si="5"/>
        <v>348</v>
      </c>
      <c r="AN36" s="29">
        <f t="shared" si="5"/>
        <v>11593</v>
      </c>
      <c r="AO36" s="29">
        <f t="shared" si="5"/>
        <v>-15430</v>
      </c>
      <c r="AP36" s="29">
        <f t="shared" si="5"/>
        <v>-46786</v>
      </c>
      <c r="AQ36" s="29">
        <f t="shared" si="5"/>
        <v>299</v>
      </c>
      <c r="AR36" s="29">
        <f t="shared" si="5"/>
        <v>-57.8</v>
      </c>
      <c r="AS36" s="29">
        <f t="shared" si="5"/>
        <v>70641</v>
      </c>
      <c r="AT36" s="29"/>
      <c r="AU36" s="42">
        <f t="shared" si="0"/>
        <v>-1878929.0259999998</v>
      </c>
      <c r="AV36" s="29"/>
      <c r="AW36" s="29"/>
      <c r="AX36" s="29"/>
      <c r="AY36" s="29"/>
      <c r="AZ36" s="29"/>
      <c r="BB36" s="29"/>
      <c r="BC36" s="29"/>
      <c r="BD36" s="29"/>
    </row>
    <row r="37" spans="1:51" ht="13.5" hidden="1">
      <c r="A37" s="250"/>
      <c r="U37" s="33"/>
      <c r="X37" s="30"/>
      <c r="Y37" s="30"/>
      <c r="Z37" s="30"/>
      <c r="AA37" s="30"/>
      <c r="AV37" s="29"/>
      <c r="AW37" s="29"/>
      <c r="AX37" s="29"/>
      <c r="AY37" s="29"/>
    </row>
    <row r="38" spans="1:51" ht="12.75" hidden="1">
      <c r="A38" s="246" t="s">
        <v>387</v>
      </c>
      <c r="U38" s="33"/>
      <c r="X38" s="30"/>
      <c r="Y38" s="30"/>
      <c r="Z38" s="30"/>
      <c r="AA38" s="30"/>
      <c r="AV38" s="29"/>
      <c r="AW38" s="29"/>
      <c r="AX38" s="29"/>
      <c r="AY38" s="29"/>
    </row>
    <row r="39" spans="1:52" ht="12.75" hidden="1">
      <c r="A39" s="247" t="s">
        <v>388</v>
      </c>
      <c r="B39" s="30">
        <v>0</v>
      </c>
      <c r="C39" s="30">
        <v>0</v>
      </c>
      <c r="D39" s="30">
        <v>0</v>
      </c>
      <c r="E39" s="30">
        <v>331</v>
      </c>
      <c r="F39" s="30">
        <v>0</v>
      </c>
      <c r="G39" s="30">
        <v>0</v>
      </c>
      <c r="H39" s="30">
        <f>76023/1000</f>
        <v>76.023</v>
      </c>
      <c r="I39" s="30">
        <v>0</v>
      </c>
      <c r="J39" s="30">
        <v>0</v>
      </c>
      <c r="K39" s="30">
        <v>291</v>
      </c>
      <c r="L39" s="30">
        <v>792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302</v>
      </c>
      <c r="T39" s="30">
        <v>201</v>
      </c>
      <c r="U39" s="30">
        <v>0</v>
      </c>
      <c r="V39" s="30">
        <v>0</v>
      </c>
      <c r="W39" s="30">
        <v>0</v>
      </c>
      <c r="X39" s="30">
        <v>3006.62</v>
      </c>
      <c r="Y39" s="30">
        <v>9016.567</v>
      </c>
      <c r="Z39" s="30">
        <v>768.419</v>
      </c>
      <c r="AA39" s="30">
        <v>0</v>
      </c>
      <c r="AB39" s="30">
        <v>0</v>
      </c>
      <c r="AC39" s="30">
        <v>77.2</v>
      </c>
      <c r="AD39" s="30">
        <v>165.7</v>
      </c>
      <c r="AE39" s="30">
        <v>0</v>
      </c>
      <c r="AF39" s="30">
        <v>0</v>
      </c>
      <c r="AG39" s="30">
        <v>628</v>
      </c>
      <c r="AH39" s="30">
        <v>4002.987</v>
      </c>
      <c r="AI39" s="30">
        <v>5480.979</v>
      </c>
      <c r="AJ39" s="30">
        <v>1674.977</v>
      </c>
      <c r="AK39" s="30">
        <v>4</v>
      </c>
      <c r="AL39" s="30">
        <v>0</v>
      </c>
      <c r="AM39" s="30">
        <v>0</v>
      </c>
      <c r="AN39" s="30">
        <v>1128</v>
      </c>
      <c r="AO39" s="30">
        <v>3306</v>
      </c>
      <c r="AP39" s="30">
        <v>1986.9</v>
      </c>
      <c r="AQ39" s="30">
        <v>0</v>
      </c>
      <c r="AR39" s="30">
        <v>11.7</v>
      </c>
      <c r="AS39" s="30">
        <v>117</v>
      </c>
      <c r="AT39" s="30"/>
      <c r="AU39" s="42">
        <f t="shared" si="0"/>
        <v>33368.07199999999</v>
      </c>
      <c r="AV39" s="29"/>
      <c r="AW39" s="29"/>
      <c r="AX39" s="29"/>
      <c r="AY39" s="29"/>
      <c r="AZ39" s="30"/>
    </row>
    <row r="40" spans="1:52" ht="12.75" hidden="1">
      <c r="A40" s="247" t="s">
        <v>389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44.997</v>
      </c>
      <c r="Y40" s="30">
        <v>134.941</v>
      </c>
      <c r="Z40" s="30">
        <v>11.5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1</v>
      </c>
      <c r="AG40" s="30">
        <v>332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1</v>
      </c>
      <c r="AO40" s="30">
        <v>9</v>
      </c>
      <c r="AP40" s="30">
        <v>22.4</v>
      </c>
      <c r="AQ40" s="30">
        <v>0</v>
      </c>
      <c r="AR40" s="30">
        <v>0</v>
      </c>
      <c r="AS40" s="30">
        <v>1636</v>
      </c>
      <c r="AT40" s="30"/>
      <c r="AU40" s="42">
        <f t="shared" si="0"/>
        <v>2192.8379999999997</v>
      </c>
      <c r="AV40" s="29"/>
      <c r="AW40" s="29"/>
      <c r="AX40" s="29"/>
      <c r="AY40" s="29"/>
      <c r="AZ40" s="30"/>
    </row>
    <row r="41" spans="1:52" ht="12.75" hidden="1">
      <c r="A41" s="254" t="s">
        <v>390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/>
      <c r="AU41" s="42">
        <f t="shared" si="0"/>
        <v>0</v>
      </c>
      <c r="AV41" s="29"/>
      <c r="AW41" s="29"/>
      <c r="AX41" s="29"/>
      <c r="AY41" s="29"/>
      <c r="AZ41" s="30"/>
    </row>
    <row r="42" spans="1:52" ht="12.75" hidden="1">
      <c r="A42" s="247" t="s">
        <v>391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/>
      <c r="AU42" s="42">
        <f t="shared" si="0"/>
        <v>0</v>
      </c>
      <c r="AV42" s="29"/>
      <c r="AW42" s="29"/>
      <c r="AX42" s="29"/>
      <c r="AY42" s="29"/>
      <c r="AZ42" s="30"/>
    </row>
    <row r="43" spans="1:52" ht="12.75" hidden="1">
      <c r="A43" s="247" t="s">
        <v>392</v>
      </c>
      <c r="B43" s="30">
        <v>33.745</v>
      </c>
      <c r="C43" s="30">
        <v>0</v>
      </c>
      <c r="D43" s="30">
        <v>0</v>
      </c>
      <c r="E43" s="30">
        <v>0</v>
      </c>
      <c r="F43" s="30">
        <v>27.006</v>
      </c>
      <c r="G43" s="30">
        <v>25.825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170</v>
      </c>
      <c r="N43" s="30">
        <v>400</v>
      </c>
      <c r="O43" s="30">
        <v>0</v>
      </c>
      <c r="P43" s="30">
        <v>58626</v>
      </c>
      <c r="Q43" s="30">
        <v>1558</v>
      </c>
      <c r="R43" s="30">
        <v>3150</v>
      </c>
      <c r="S43" s="30">
        <v>0</v>
      </c>
      <c r="T43" s="30">
        <v>0</v>
      </c>
      <c r="U43" s="132">
        <v>3483</v>
      </c>
      <c r="V43" s="30">
        <v>1.012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59</v>
      </c>
      <c r="AF43" s="30">
        <v>0</v>
      </c>
      <c r="AG43" s="30">
        <v>0</v>
      </c>
      <c r="AH43" s="30">
        <v>4453.931</v>
      </c>
      <c r="AI43" s="30">
        <v>3879.738</v>
      </c>
      <c r="AJ43" s="30">
        <v>569.933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/>
      <c r="AU43" s="42">
        <f t="shared" si="0"/>
        <v>76437.19</v>
      </c>
      <c r="AV43" s="29"/>
      <c r="AW43" s="29"/>
      <c r="AX43" s="29"/>
      <c r="AY43" s="29"/>
      <c r="AZ43" s="30"/>
    </row>
    <row r="44" spans="1:51" ht="12.75" hidden="1">
      <c r="A44" s="247"/>
      <c r="U44" s="33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V44" s="29"/>
      <c r="AW44" s="29"/>
      <c r="AX44" s="29"/>
      <c r="AY44" s="29"/>
    </row>
    <row r="45" spans="1:52" ht="12.75">
      <c r="A45" s="260" t="s">
        <v>387</v>
      </c>
      <c r="B45" s="29">
        <f>SUM(B39:B43)</f>
        <v>33.745</v>
      </c>
      <c r="C45" s="29">
        <f aca="true" t="shared" si="6" ref="C45:AS45">SUM(C39:C43)</f>
        <v>0</v>
      </c>
      <c r="D45" s="29">
        <f t="shared" si="6"/>
        <v>0</v>
      </c>
      <c r="E45" s="29">
        <f t="shared" si="6"/>
        <v>331</v>
      </c>
      <c r="F45" s="29">
        <f t="shared" si="6"/>
        <v>27.006</v>
      </c>
      <c r="G45" s="29">
        <f t="shared" si="6"/>
        <v>25.825</v>
      </c>
      <c r="H45" s="29">
        <f t="shared" si="6"/>
        <v>76.023</v>
      </c>
      <c r="I45" s="29">
        <f t="shared" si="6"/>
        <v>0</v>
      </c>
      <c r="J45" s="29">
        <f t="shared" si="6"/>
        <v>0</v>
      </c>
      <c r="K45" s="29">
        <f t="shared" si="6"/>
        <v>291</v>
      </c>
      <c r="L45" s="29">
        <f t="shared" si="6"/>
        <v>792</v>
      </c>
      <c r="M45" s="29">
        <f t="shared" si="6"/>
        <v>170</v>
      </c>
      <c r="N45" s="29">
        <f t="shared" si="6"/>
        <v>400</v>
      </c>
      <c r="O45" s="29">
        <f t="shared" si="6"/>
        <v>0</v>
      </c>
      <c r="P45" s="29">
        <f t="shared" si="6"/>
        <v>58626</v>
      </c>
      <c r="Q45" s="29">
        <f t="shared" si="6"/>
        <v>1558</v>
      </c>
      <c r="R45" s="29">
        <f t="shared" si="6"/>
        <v>3150</v>
      </c>
      <c r="S45" s="29">
        <f t="shared" si="6"/>
        <v>302</v>
      </c>
      <c r="T45" s="29">
        <f t="shared" si="6"/>
        <v>201</v>
      </c>
      <c r="U45" s="29">
        <f t="shared" si="6"/>
        <v>3483</v>
      </c>
      <c r="V45" s="29">
        <f t="shared" si="6"/>
        <v>1.012</v>
      </c>
      <c r="W45" s="29">
        <f t="shared" si="6"/>
        <v>0</v>
      </c>
      <c r="X45" s="29">
        <f t="shared" si="6"/>
        <v>3051.6169999999997</v>
      </c>
      <c r="Y45" s="29">
        <f t="shared" si="6"/>
        <v>9151.508</v>
      </c>
      <c r="Z45" s="29">
        <f t="shared" si="6"/>
        <v>779.919</v>
      </c>
      <c r="AA45" s="29">
        <f t="shared" si="6"/>
        <v>0</v>
      </c>
      <c r="AB45" s="29">
        <f t="shared" si="6"/>
        <v>0</v>
      </c>
      <c r="AC45" s="29">
        <f t="shared" si="6"/>
        <v>77.2</v>
      </c>
      <c r="AD45" s="29">
        <f t="shared" si="6"/>
        <v>165.7</v>
      </c>
      <c r="AE45" s="29">
        <f t="shared" si="6"/>
        <v>59</v>
      </c>
      <c r="AF45" s="29">
        <f t="shared" si="6"/>
        <v>1</v>
      </c>
      <c r="AG45" s="29">
        <f t="shared" si="6"/>
        <v>960</v>
      </c>
      <c r="AH45" s="29">
        <f t="shared" si="6"/>
        <v>8456.918</v>
      </c>
      <c r="AI45" s="29">
        <f t="shared" si="6"/>
        <v>9360.717</v>
      </c>
      <c r="AJ45" s="29">
        <f t="shared" si="6"/>
        <v>2244.91</v>
      </c>
      <c r="AK45" s="29">
        <f t="shared" si="6"/>
        <v>4</v>
      </c>
      <c r="AL45" s="29">
        <f t="shared" si="6"/>
        <v>0</v>
      </c>
      <c r="AM45" s="29">
        <f t="shared" si="6"/>
        <v>0</v>
      </c>
      <c r="AN45" s="29">
        <f t="shared" si="6"/>
        <v>1129</v>
      </c>
      <c r="AO45" s="29">
        <f t="shared" si="6"/>
        <v>3315</v>
      </c>
      <c r="AP45" s="29">
        <f t="shared" si="6"/>
        <v>2009.3000000000002</v>
      </c>
      <c r="AQ45" s="29">
        <f t="shared" si="6"/>
        <v>0</v>
      </c>
      <c r="AR45" s="29">
        <f t="shared" si="6"/>
        <v>11.7</v>
      </c>
      <c r="AS45" s="29">
        <f t="shared" si="6"/>
        <v>1753</v>
      </c>
      <c r="AT45" s="29"/>
      <c r="AU45" s="42">
        <f t="shared" si="0"/>
        <v>111998.1</v>
      </c>
      <c r="AV45" s="29"/>
      <c r="AW45" s="29"/>
      <c r="AX45" s="29"/>
      <c r="AY45" s="29"/>
      <c r="AZ45" s="29"/>
    </row>
    <row r="46" spans="1:51" ht="13.5" hidden="1">
      <c r="A46" s="250"/>
      <c r="U46" s="33"/>
      <c r="X46" s="30"/>
      <c r="Y46" s="30"/>
      <c r="Z46" s="30"/>
      <c r="AA46" s="30"/>
      <c r="AV46" s="29"/>
      <c r="AW46" s="29"/>
      <c r="AX46" s="29"/>
      <c r="AY46" s="29"/>
    </row>
    <row r="47" spans="1:51" ht="12.75" hidden="1">
      <c r="A47" s="246" t="s">
        <v>393</v>
      </c>
      <c r="U47" s="33"/>
      <c r="X47" s="30"/>
      <c r="Y47" s="30"/>
      <c r="Z47" s="30"/>
      <c r="AA47" s="30"/>
      <c r="AV47" s="29"/>
      <c r="AW47" s="29"/>
      <c r="AX47" s="29"/>
      <c r="AY47" s="29"/>
    </row>
    <row r="48" spans="1:52" ht="12.75" hidden="1">
      <c r="A48" s="247" t="s">
        <v>388</v>
      </c>
      <c r="B48" s="30">
        <v>388.361</v>
      </c>
      <c r="C48" s="30">
        <v>0</v>
      </c>
      <c r="D48" s="30">
        <v>0</v>
      </c>
      <c r="E48" s="30">
        <v>334</v>
      </c>
      <c r="F48" s="30">
        <v>1121.454</v>
      </c>
      <c r="G48" s="30">
        <v>678.901</v>
      </c>
      <c r="H48" s="30">
        <v>0</v>
      </c>
      <c r="I48" s="30">
        <v>0</v>
      </c>
      <c r="J48" s="30">
        <v>0</v>
      </c>
      <c r="K48" s="30">
        <v>294</v>
      </c>
      <c r="L48" s="30">
        <v>799</v>
      </c>
      <c r="M48" s="30">
        <v>0</v>
      </c>
      <c r="N48" s="30">
        <v>0</v>
      </c>
      <c r="O48" s="30">
        <v>175</v>
      </c>
      <c r="P48" s="30">
        <v>34860</v>
      </c>
      <c r="Q48" s="30">
        <v>821</v>
      </c>
      <c r="R48" s="30">
        <v>1642</v>
      </c>
      <c r="S48" s="30">
        <v>303</v>
      </c>
      <c r="T48" s="30">
        <v>200</v>
      </c>
      <c r="U48" s="132">
        <v>0</v>
      </c>
      <c r="V48" s="30">
        <v>0</v>
      </c>
      <c r="W48" s="30">
        <v>321</v>
      </c>
      <c r="X48" s="30">
        <v>5963.33</v>
      </c>
      <c r="Y48" s="30">
        <v>17553.847</v>
      </c>
      <c r="Z48" s="30">
        <v>1495.993</v>
      </c>
      <c r="AA48" s="30">
        <v>70.969</v>
      </c>
      <c r="AB48" s="30">
        <v>1147.374</v>
      </c>
      <c r="AC48" s="30">
        <v>25.7</v>
      </c>
      <c r="AD48" s="30">
        <v>55.2</v>
      </c>
      <c r="AE48" s="30">
        <v>92</v>
      </c>
      <c r="AF48" s="30">
        <v>0</v>
      </c>
      <c r="AG48" s="30">
        <v>5070.4</v>
      </c>
      <c r="AH48" s="30">
        <v>8005.975</v>
      </c>
      <c r="AI48" s="30">
        <v>10961.957</v>
      </c>
      <c r="AJ48" s="30">
        <v>3349.954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2110</v>
      </c>
      <c r="AT48" s="30"/>
      <c r="AU48" s="42">
        <f t="shared" si="0"/>
        <v>97840.41499999998</v>
      </c>
      <c r="AV48" s="29"/>
      <c r="AW48" s="29"/>
      <c r="AX48" s="29"/>
      <c r="AY48" s="29"/>
      <c r="AZ48" s="30"/>
    </row>
    <row r="49" spans="1:52" ht="12.75" hidden="1">
      <c r="A49" s="247" t="s">
        <v>394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346</v>
      </c>
      <c r="N49" s="30">
        <v>812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132">
        <v>4791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354.311</v>
      </c>
      <c r="AI49" s="30">
        <v>532.356</v>
      </c>
      <c r="AJ49" s="30">
        <v>150.661</v>
      </c>
      <c r="AK49" s="30">
        <v>0</v>
      </c>
      <c r="AL49" s="30">
        <v>0</v>
      </c>
      <c r="AM49" s="30">
        <v>0</v>
      </c>
      <c r="AN49" s="30">
        <v>1279</v>
      </c>
      <c r="AO49" s="30">
        <v>3587</v>
      </c>
      <c r="AP49" s="30">
        <v>2192</v>
      </c>
      <c r="AQ49" s="30">
        <v>0</v>
      </c>
      <c r="AR49" s="30">
        <v>0</v>
      </c>
      <c r="AS49" s="30">
        <v>0</v>
      </c>
      <c r="AT49" s="30"/>
      <c r="AU49" s="42">
        <f t="shared" si="0"/>
        <v>14044.328</v>
      </c>
      <c r="AV49" s="29"/>
      <c r="AW49" s="29"/>
      <c r="AX49" s="29"/>
      <c r="AY49" s="29"/>
      <c r="AZ49" s="30"/>
    </row>
    <row r="50" spans="1:51" ht="12.75" hidden="1">
      <c r="A50" s="247"/>
      <c r="U50" s="33"/>
      <c r="X50" s="30"/>
      <c r="Y50" s="30"/>
      <c r="Z50" s="30"/>
      <c r="AA50" s="30"/>
      <c r="AV50" s="29"/>
      <c r="AW50" s="29"/>
      <c r="AX50" s="29"/>
      <c r="AY50" s="29"/>
    </row>
    <row r="51" spans="1:52" ht="12.75">
      <c r="A51" s="260" t="s">
        <v>395</v>
      </c>
      <c r="B51" s="29">
        <f>SUM(B48:B50)</f>
        <v>388.361</v>
      </c>
      <c r="C51" s="29">
        <f aca="true" t="shared" si="7" ref="C51:AS51">SUM(C48:C50)</f>
        <v>0</v>
      </c>
      <c r="D51" s="29">
        <f t="shared" si="7"/>
        <v>0</v>
      </c>
      <c r="E51" s="29">
        <f t="shared" si="7"/>
        <v>334</v>
      </c>
      <c r="F51" s="29">
        <f t="shared" si="7"/>
        <v>1121.454</v>
      </c>
      <c r="G51" s="29">
        <f t="shared" si="7"/>
        <v>678.901</v>
      </c>
      <c r="H51" s="29">
        <f t="shared" si="7"/>
        <v>0</v>
      </c>
      <c r="I51" s="29">
        <f t="shared" si="7"/>
        <v>0</v>
      </c>
      <c r="J51" s="29">
        <f t="shared" si="7"/>
        <v>0</v>
      </c>
      <c r="K51" s="29">
        <f t="shared" si="7"/>
        <v>294</v>
      </c>
      <c r="L51" s="29">
        <f t="shared" si="7"/>
        <v>799</v>
      </c>
      <c r="M51" s="29">
        <f t="shared" si="7"/>
        <v>346</v>
      </c>
      <c r="N51" s="29">
        <f t="shared" si="7"/>
        <v>812</v>
      </c>
      <c r="O51" s="29">
        <f t="shared" si="7"/>
        <v>175</v>
      </c>
      <c r="P51" s="29">
        <f t="shared" si="7"/>
        <v>34860</v>
      </c>
      <c r="Q51" s="29">
        <f t="shared" si="7"/>
        <v>821</v>
      </c>
      <c r="R51" s="29">
        <f t="shared" si="7"/>
        <v>1642</v>
      </c>
      <c r="S51" s="29">
        <f t="shared" si="7"/>
        <v>303</v>
      </c>
      <c r="T51" s="29">
        <f t="shared" si="7"/>
        <v>200</v>
      </c>
      <c r="U51" s="29">
        <f t="shared" si="7"/>
        <v>4791</v>
      </c>
      <c r="V51" s="29">
        <f t="shared" si="7"/>
        <v>0</v>
      </c>
      <c r="W51" s="29">
        <f t="shared" si="7"/>
        <v>321</v>
      </c>
      <c r="X51" s="29">
        <f t="shared" si="7"/>
        <v>5963.33</v>
      </c>
      <c r="Y51" s="29">
        <f t="shared" si="7"/>
        <v>17553.847</v>
      </c>
      <c r="Z51" s="29">
        <f t="shared" si="7"/>
        <v>1495.993</v>
      </c>
      <c r="AA51" s="29">
        <f t="shared" si="7"/>
        <v>70.969</v>
      </c>
      <c r="AB51" s="29">
        <f t="shared" si="7"/>
        <v>1147.374</v>
      </c>
      <c r="AC51" s="29">
        <f t="shared" si="7"/>
        <v>25.7</v>
      </c>
      <c r="AD51" s="29">
        <f t="shared" si="7"/>
        <v>55.2</v>
      </c>
      <c r="AE51" s="29">
        <f t="shared" si="7"/>
        <v>92</v>
      </c>
      <c r="AF51" s="29">
        <f t="shared" si="7"/>
        <v>0</v>
      </c>
      <c r="AG51" s="29">
        <f t="shared" si="7"/>
        <v>5070.4</v>
      </c>
      <c r="AH51" s="29">
        <f t="shared" si="7"/>
        <v>8360.286</v>
      </c>
      <c r="AI51" s="29">
        <f t="shared" si="7"/>
        <v>11494.313</v>
      </c>
      <c r="AJ51" s="29">
        <f t="shared" si="7"/>
        <v>3500.6150000000002</v>
      </c>
      <c r="AK51" s="29">
        <f t="shared" si="7"/>
        <v>0</v>
      </c>
      <c r="AL51" s="29">
        <f t="shared" si="7"/>
        <v>0</v>
      </c>
      <c r="AM51" s="29">
        <f t="shared" si="7"/>
        <v>0</v>
      </c>
      <c r="AN51" s="29">
        <f t="shared" si="7"/>
        <v>1279</v>
      </c>
      <c r="AO51" s="29">
        <f t="shared" si="7"/>
        <v>3587</v>
      </c>
      <c r="AP51" s="29">
        <f t="shared" si="7"/>
        <v>2192</v>
      </c>
      <c r="AQ51" s="29">
        <f t="shared" si="7"/>
        <v>0</v>
      </c>
      <c r="AR51" s="29">
        <f t="shared" si="7"/>
        <v>0</v>
      </c>
      <c r="AS51" s="29">
        <f t="shared" si="7"/>
        <v>2110</v>
      </c>
      <c r="AT51" s="29"/>
      <c r="AU51" s="42">
        <f t="shared" si="0"/>
        <v>111884.743</v>
      </c>
      <c r="AV51" s="29"/>
      <c r="AW51" s="29"/>
      <c r="AX51" s="29"/>
      <c r="AY51" s="29"/>
      <c r="AZ51" s="29"/>
    </row>
    <row r="52" spans="1:51" ht="12.75" hidden="1">
      <c r="A52" s="247"/>
      <c r="U52" s="33"/>
      <c r="X52" s="30"/>
      <c r="Y52" s="30"/>
      <c r="Z52" s="30"/>
      <c r="AA52" s="30"/>
      <c r="AV52" s="29"/>
      <c r="AW52" s="29"/>
      <c r="AX52" s="29"/>
      <c r="AY52" s="29"/>
    </row>
    <row r="53" spans="1:52" ht="12.75">
      <c r="A53" s="246" t="s">
        <v>396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30">
        <v>0</v>
      </c>
      <c r="Y53" s="30">
        <v>0</v>
      </c>
      <c r="Z53" s="30">
        <v>0</v>
      </c>
      <c r="AA53" s="30">
        <v>0</v>
      </c>
      <c r="AB53" s="29">
        <v>0</v>
      </c>
      <c r="AC53" s="29">
        <v>0</v>
      </c>
      <c r="AD53" s="29">
        <v>0</v>
      </c>
      <c r="AE53" s="29">
        <v>0.3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443</v>
      </c>
      <c r="AO53" s="29">
        <v>282</v>
      </c>
      <c r="AP53" s="29">
        <v>3.1</v>
      </c>
      <c r="AQ53" s="29">
        <v>0</v>
      </c>
      <c r="AR53" s="29">
        <v>0</v>
      </c>
      <c r="AS53" s="29">
        <v>0</v>
      </c>
      <c r="AT53" s="29"/>
      <c r="AU53" s="42">
        <f t="shared" si="0"/>
        <v>728.4</v>
      </c>
      <c r="AV53" s="29"/>
      <c r="AW53" s="29"/>
      <c r="AX53" s="29"/>
      <c r="AY53" s="29"/>
      <c r="AZ53" s="29"/>
    </row>
    <row r="54" spans="1:51" ht="12.75" hidden="1">
      <c r="A54" s="247"/>
      <c r="U54" s="33"/>
      <c r="X54" s="30"/>
      <c r="Y54" s="30"/>
      <c r="Z54" s="30"/>
      <c r="AA54" s="30"/>
      <c r="AV54" s="29"/>
      <c r="AW54" s="29"/>
      <c r="AX54" s="29"/>
      <c r="AY54" s="29"/>
    </row>
    <row r="55" spans="1:52" ht="12.75">
      <c r="A55" s="246" t="s">
        <v>397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30">
        <v>0</v>
      </c>
      <c r="Y55" s="30">
        <v>0</v>
      </c>
      <c r="Z55" s="30">
        <v>0</v>
      </c>
      <c r="AA55" s="30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/>
      <c r="AU55" s="42">
        <f t="shared" si="0"/>
        <v>0</v>
      </c>
      <c r="AV55" s="29"/>
      <c r="AW55" s="29"/>
      <c r="AX55" s="29"/>
      <c r="AY55" s="29"/>
      <c r="AZ55" s="29"/>
    </row>
    <row r="56" spans="1:51" ht="12.75" hidden="1">
      <c r="A56" s="251"/>
      <c r="U56" s="33"/>
      <c r="X56" s="30"/>
      <c r="Y56" s="30"/>
      <c r="Z56" s="30"/>
      <c r="AA56" s="30"/>
      <c r="AV56" s="29"/>
      <c r="AW56" s="29"/>
      <c r="AX56" s="29"/>
      <c r="AY56" s="29"/>
    </row>
    <row r="57" spans="1:51" ht="12.75">
      <c r="A57" s="246" t="s">
        <v>398</v>
      </c>
      <c r="U57" s="33"/>
      <c r="X57" s="30"/>
      <c r="Y57" s="30"/>
      <c r="Z57" s="30"/>
      <c r="AA57" s="30"/>
      <c r="AV57" s="29"/>
      <c r="AW57" s="29"/>
      <c r="AX57" s="29"/>
      <c r="AY57" s="29"/>
    </row>
    <row r="58" spans="1:52" ht="12.75">
      <c r="A58" s="246" t="s">
        <v>399</v>
      </c>
      <c r="B58" s="29">
        <f aca="true" t="shared" si="8" ref="B58:AA58">+B15-B23+B36-B45-B51+B53-B55</f>
        <v>234018.64700000003</v>
      </c>
      <c r="C58" s="29">
        <f t="shared" si="8"/>
        <v>194711.695</v>
      </c>
      <c r="D58" s="29">
        <f t="shared" si="8"/>
        <v>79275.71900000001</v>
      </c>
      <c r="E58" s="29">
        <f t="shared" si="8"/>
        <v>444182</v>
      </c>
      <c r="F58" s="29">
        <f t="shared" si="8"/>
        <v>59648.603</v>
      </c>
      <c r="G58" s="29">
        <f t="shared" si="8"/>
        <v>111482.319</v>
      </c>
      <c r="H58" s="29">
        <f t="shared" si="8"/>
        <v>29017.06</v>
      </c>
      <c r="I58" s="29">
        <f t="shared" si="8"/>
        <v>3927.488</v>
      </c>
      <c r="J58" s="29">
        <f t="shared" si="8"/>
        <v>5919.44</v>
      </c>
      <c r="K58" s="29">
        <f t="shared" si="8"/>
        <v>52249</v>
      </c>
      <c r="L58" s="29">
        <f t="shared" si="8"/>
        <v>239403</v>
      </c>
      <c r="M58" s="29">
        <f t="shared" si="8"/>
        <v>59593</v>
      </c>
      <c r="N58" s="29">
        <f t="shared" si="8"/>
        <v>142342</v>
      </c>
      <c r="O58" s="29">
        <f t="shared" si="8"/>
        <v>33030</v>
      </c>
      <c r="P58" s="29">
        <f t="shared" si="8"/>
        <v>-790071</v>
      </c>
      <c r="Q58" s="29">
        <f t="shared" si="8"/>
        <v>430421</v>
      </c>
      <c r="R58" s="29">
        <f t="shared" si="8"/>
        <v>1336726</v>
      </c>
      <c r="S58" s="29">
        <f t="shared" si="8"/>
        <v>3615</v>
      </c>
      <c r="T58" s="29">
        <f t="shared" si="8"/>
        <v>82610</v>
      </c>
      <c r="U58" s="29">
        <f t="shared" si="8"/>
        <v>126714</v>
      </c>
      <c r="V58" s="29">
        <f t="shared" si="8"/>
        <v>7082.344000000001</v>
      </c>
      <c r="W58" s="29">
        <f t="shared" si="8"/>
        <v>33194</v>
      </c>
      <c r="X58" s="29">
        <f t="shared" si="8"/>
        <v>419548.983</v>
      </c>
      <c r="Y58" s="29">
        <f t="shared" si="8"/>
        <v>534892.472</v>
      </c>
      <c r="Z58" s="29">
        <f t="shared" si="8"/>
        <v>-32281.505000000012</v>
      </c>
      <c r="AA58" s="29">
        <f t="shared" si="8"/>
        <v>150221.47799999994</v>
      </c>
      <c r="AB58" s="29">
        <f aca="true" t="shared" si="9" ref="AB58:AS58">+AB15-AB23+AB36-AB45-AB51+AB53-AB55</f>
        <v>155222.84</v>
      </c>
      <c r="AC58" s="29">
        <f t="shared" si="9"/>
        <v>5559.700000000001</v>
      </c>
      <c r="AD58" s="29">
        <f t="shared" si="9"/>
        <v>11625.399999999998</v>
      </c>
      <c r="AE58" s="29">
        <f t="shared" si="9"/>
        <v>11630.3</v>
      </c>
      <c r="AF58" s="29">
        <f t="shared" si="9"/>
        <v>777</v>
      </c>
      <c r="AG58" s="29">
        <f t="shared" si="9"/>
        <v>-7674.600000000011</v>
      </c>
      <c r="AH58" s="29">
        <f t="shared" si="9"/>
        <v>515685.3699999999</v>
      </c>
      <c r="AI58" s="29">
        <f t="shared" si="9"/>
        <v>344253.118</v>
      </c>
      <c r="AJ58" s="29">
        <f t="shared" si="9"/>
        <v>7584.3120000000035</v>
      </c>
      <c r="AK58" s="29">
        <f t="shared" si="9"/>
        <v>39212</v>
      </c>
      <c r="AL58" s="29">
        <f t="shared" si="9"/>
        <v>20767</v>
      </c>
      <c r="AM58" s="29">
        <f t="shared" si="9"/>
        <v>11940</v>
      </c>
      <c r="AN58" s="29">
        <f t="shared" si="9"/>
        <v>146833</v>
      </c>
      <c r="AO58" s="29">
        <f t="shared" si="9"/>
        <v>1069541</v>
      </c>
      <c r="AP58" s="29">
        <f t="shared" si="9"/>
        <v>625794.2</v>
      </c>
      <c r="AQ58" s="29">
        <f t="shared" si="9"/>
        <v>60880</v>
      </c>
      <c r="AR58" s="29">
        <f t="shared" si="9"/>
        <v>2421.9</v>
      </c>
      <c r="AS58" s="29">
        <f t="shared" si="9"/>
        <v>96430</v>
      </c>
      <c r="AT58" s="29"/>
      <c r="AU58" s="42">
        <f t="shared" si="0"/>
        <v>7109955.283</v>
      </c>
      <c r="AV58" s="29"/>
      <c r="AW58" s="29"/>
      <c r="AX58" s="29"/>
      <c r="AY58" s="29"/>
      <c r="AZ58" s="29"/>
    </row>
    <row r="59" spans="1:51" ht="12.75" hidden="1">
      <c r="A59" s="251"/>
      <c r="U59" s="33"/>
      <c r="X59" s="30"/>
      <c r="Y59" s="30"/>
      <c r="Z59" s="30"/>
      <c r="AA59" s="30"/>
      <c r="AV59" s="29"/>
      <c r="AW59" s="29"/>
      <c r="AX59" s="29"/>
      <c r="AY59" s="29"/>
    </row>
    <row r="60" spans="1:52" ht="12.75">
      <c r="A60" s="246" t="s">
        <v>400</v>
      </c>
      <c r="B60" s="29">
        <f>+B61-B62</f>
        <v>0</v>
      </c>
      <c r="C60" s="29">
        <f aca="true" t="shared" si="10" ref="C60:K60">+C61-C62</f>
        <v>0</v>
      </c>
      <c r="D60" s="29">
        <f t="shared" si="10"/>
        <v>0</v>
      </c>
      <c r="E60" s="29">
        <f t="shared" si="10"/>
        <v>0</v>
      </c>
      <c r="F60" s="29">
        <f t="shared" si="10"/>
        <v>0</v>
      </c>
      <c r="G60" s="29">
        <f t="shared" si="10"/>
        <v>0</v>
      </c>
      <c r="H60" s="29">
        <f t="shared" si="10"/>
        <v>0</v>
      </c>
      <c r="I60" s="29">
        <f t="shared" si="10"/>
        <v>0</v>
      </c>
      <c r="J60" s="29">
        <f t="shared" si="10"/>
        <v>0</v>
      </c>
      <c r="K60" s="29">
        <f t="shared" si="10"/>
        <v>0</v>
      </c>
      <c r="L60" s="29">
        <f aca="true" t="shared" si="11" ref="L60:AS60">+L61-L62</f>
        <v>0</v>
      </c>
      <c r="M60" s="29">
        <f t="shared" si="11"/>
        <v>0</v>
      </c>
      <c r="N60" s="29">
        <f t="shared" si="11"/>
        <v>0</v>
      </c>
      <c r="O60" s="29">
        <f t="shared" si="11"/>
        <v>0</v>
      </c>
      <c r="P60" s="29">
        <f t="shared" si="11"/>
        <v>0</v>
      </c>
      <c r="Q60" s="29">
        <f t="shared" si="11"/>
        <v>0</v>
      </c>
      <c r="R60" s="29">
        <f t="shared" si="11"/>
        <v>0</v>
      </c>
      <c r="S60" s="29">
        <f t="shared" si="11"/>
        <v>0</v>
      </c>
      <c r="T60" s="29">
        <f t="shared" si="11"/>
        <v>0</v>
      </c>
      <c r="U60" s="29">
        <f t="shared" si="11"/>
        <v>0</v>
      </c>
      <c r="V60" s="29">
        <f t="shared" si="11"/>
        <v>0</v>
      </c>
      <c r="W60" s="29">
        <f t="shared" si="11"/>
        <v>0</v>
      </c>
      <c r="X60" s="29">
        <f t="shared" si="11"/>
        <v>0</v>
      </c>
      <c r="Y60" s="29">
        <f t="shared" si="11"/>
        <v>0</v>
      </c>
      <c r="Z60" s="29">
        <f t="shared" si="11"/>
        <v>0</v>
      </c>
      <c r="AA60" s="29">
        <f t="shared" si="11"/>
        <v>0</v>
      </c>
      <c r="AB60" s="29">
        <f t="shared" si="11"/>
        <v>0</v>
      </c>
      <c r="AC60" s="29">
        <f t="shared" si="11"/>
        <v>0</v>
      </c>
      <c r="AD60" s="29">
        <f t="shared" si="11"/>
        <v>0</v>
      </c>
      <c r="AE60" s="29">
        <f t="shared" si="11"/>
        <v>0</v>
      </c>
      <c r="AF60" s="29">
        <f t="shared" si="11"/>
        <v>0</v>
      </c>
      <c r="AG60" s="29">
        <f t="shared" si="11"/>
        <v>0</v>
      </c>
      <c r="AH60" s="29">
        <f t="shared" si="11"/>
        <v>0</v>
      </c>
      <c r="AI60" s="29">
        <f t="shared" si="11"/>
        <v>0</v>
      </c>
      <c r="AJ60" s="29">
        <f t="shared" si="11"/>
        <v>0</v>
      </c>
      <c r="AK60" s="29">
        <f t="shared" si="11"/>
        <v>0</v>
      </c>
      <c r="AL60" s="29">
        <f t="shared" si="11"/>
        <v>0</v>
      </c>
      <c r="AM60" s="29">
        <f t="shared" si="11"/>
        <v>0</v>
      </c>
      <c r="AN60" s="29">
        <f t="shared" si="11"/>
        <v>0</v>
      </c>
      <c r="AO60" s="29">
        <f t="shared" si="11"/>
        <v>0</v>
      </c>
      <c r="AP60" s="29">
        <f t="shared" si="11"/>
        <v>0</v>
      </c>
      <c r="AQ60" s="29">
        <f t="shared" si="11"/>
        <v>0</v>
      </c>
      <c r="AR60" s="29">
        <f t="shared" si="11"/>
        <v>0</v>
      </c>
      <c r="AS60" s="29">
        <f t="shared" si="11"/>
        <v>0</v>
      </c>
      <c r="AT60" s="29"/>
      <c r="AU60" s="42">
        <f t="shared" si="0"/>
        <v>0</v>
      </c>
      <c r="AV60" s="29"/>
      <c r="AW60" s="29"/>
      <c r="AX60" s="29"/>
      <c r="AY60" s="29"/>
      <c r="AZ60" s="29"/>
    </row>
    <row r="61" spans="1:52" ht="12.75" hidden="1">
      <c r="A61" s="247" t="s">
        <v>401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30">
        <v>0</v>
      </c>
      <c r="Y61" s="30">
        <v>0</v>
      </c>
      <c r="Z61" s="30">
        <v>0</v>
      </c>
      <c r="AA61" s="30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/>
      <c r="AU61" s="42">
        <f t="shared" si="0"/>
        <v>0</v>
      </c>
      <c r="AV61" s="29"/>
      <c r="AW61" s="29"/>
      <c r="AX61" s="29"/>
      <c r="AY61" s="29"/>
      <c r="AZ61" s="29"/>
    </row>
    <row r="62" spans="1:52" ht="12.75" hidden="1">
      <c r="A62" s="247" t="s">
        <v>402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30">
        <v>0</v>
      </c>
      <c r="Y62" s="30">
        <v>0</v>
      </c>
      <c r="Z62" s="30">
        <v>0</v>
      </c>
      <c r="AA62" s="30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/>
      <c r="AU62" s="42">
        <f t="shared" si="0"/>
        <v>0</v>
      </c>
      <c r="AV62" s="29"/>
      <c r="AX62" s="29"/>
      <c r="AY62" s="29"/>
      <c r="AZ62" s="29"/>
    </row>
    <row r="63" spans="1:51" ht="12.75" hidden="1">
      <c r="A63" s="247"/>
      <c r="U63" s="33"/>
      <c r="X63" s="30"/>
      <c r="Y63" s="30"/>
      <c r="Z63" s="30"/>
      <c r="AA63" s="30"/>
      <c r="AB63" s="29"/>
      <c r="AV63" s="29"/>
      <c r="AW63" s="29"/>
      <c r="AX63" s="29"/>
      <c r="AY63" s="29"/>
    </row>
    <row r="64" spans="1:52" ht="12.75">
      <c r="A64" s="246" t="s">
        <v>403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/>
      <c r="AN64" s="29"/>
      <c r="AO64" s="29"/>
      <c r="AP64" s="29"/>
      <c r="AQ64" s="29"/>
      <c r="AR64" s="29"/>
      <c r="AS64" s="29"/>
      <c r="AT64" s="30"/>
      <c r="AU64" s="42">
        <f t="shared" si="0"/>
        <v>0</v>
      </c>
      <c r="AV64" s="29"/>
      <c r="AW64" s="29"/>
      <c r="AX64" s="29"/>
      <c r="AY64" s="29"/>
      <c r="AZ64" s="29"/>
    </row>
    <row r="65" spans="1:51" ht="12.75" hidden="1">
      <c r="A65" s="247"/>
      <c r="U65" s="33"/>
      <c r="X65" s="30"/>
      <c r="Y65" s="30"/>
      <c r="Z65" s="30"/>
      <c r="AA65" s="30"/>
      <c r="AV65" s="29"/>
      <c r="AW65" s="103"/>
      <c r="AX65" s="29"/>
      <c r="AY65" s="29"/>
    </row>
    <row r="66" spans="1:52" ht="12.75">
      <c r="A66" s="246" t="s">
        <v>404</v>
      </c>
      <c r="B66" s="29">
        <f>+B58+B60</f>
        <v>234018.64700000003</v>
      </c>
      <c r="C66" s="29">
        <f aca="true" t="shared" si="12" ref="C66:AS66">+C58+C60</f>
        <v>194711.695</v>
      </c>
      <c r="D66" s="29">
        <f t="shared" si="12"/>
        <v>79275.71900000001</v>
      </c>
      <c r="E66" s="29">
        <f t="shared" si="12"/>
        <v>444182</v>
      </c>
      <c r="F66" s="29">
        <f t="shared" si="12"/>
        <v>59648.603</v>
      </c>
      <c r="G66" s="29">
        <f t="shared" si="12"/>
        <v>111482.319</v>
      </c>
      <c r="H66" s="29">
        <f t="shared" si="12"/>
        <v>29017.06</v>
      </c>
      <c r="I66" s="29">
        <f t="shared" si="12"/>
        <v>3927.488</v>
      </c>
      <c r="J66" s="29">
        <f t="shared" si="12"/>
        <v>5919.44</v>
      </c>
      <c r="K66" s="29">
        <f t="shared" si="12"/>
        <v>52249</v>
      </c>
      <c r="L66" s="29">
        <f t="shared" si="12"/>
        <v>239403</v>
      </c>
      <c r="M66" s="29">
        <f t="shared" si="12"/>
        <v>59593</v>
      </c>
      <c r="N66" s="29">
        <f t="shared" si="12"/>
        <v>142342</v>
      </c>
      <c r="O66" s="29">
        <f t="shared" si="12"/>
        <v>33030</v>
      </c>
      <c r="P66" s="29">
        <f t="shared" si="12"/>
        <v>-790071</v>
      </c>
      <c r="Q66" s="29">
        <f t="shared" si="12"/>
        <v>430421</v>
      </c>
      <c r="R66" s="29">
        <f t="shared" si="12"/>
        <v>1336726</v>
      </c>
      <c r="S66" s="29">
        <f t="shared" si="12"/>
        <v>3615</v>
      </c>
      <c r="T66" s="29">
        <f t="shared" si="12"/>
        <v>82610</v>
      </c>
      <c r="U66" s="29">
        <f t="shared" si="12"/>
        <v>126714</v>
      </c>
      <c r="V66" s="29">
        <f t="shared" si="12"/>
        <v>7082.344000000001</v>
      </c>
      <c r="W66" s="29">
        <f t="shared" si="12"/>
        <v>33194</v>
      </c>
      <c r="X66" s="29">
        <f t="shared" si="12"/>
        <v>419548.983</v>
      </c>
      <c r="Y66" s="29">
        <f t="shared" si="12"/>
        <v>534892.472</v>
      </c>
      <c r="Z66" s="29">
        <f t="shared" si="12"/>
        <v>-32281.505000000012</v>
      </c>
      <c r="AA66" s="29">
        <f t="shared" si="12"/>
        <v>150221.47799999994</v>
      </c>
      <c r="AB66" s="29">
        <f t="shared" si="12"/>
        <v>155222.84</v>
      </c>
      <c r="AC66" s="29">
        <f t="shared" si="12"/>
        <v>5559.700000000001</v>
      </c>
      <c r="AD66" s="29">
        <f t="shared" si="12"/>
        <v>11625.399999999998</v>
      </c>
      <c r="AE66" s="29">
        <f t="shared" si="12"/>
        <v>11630.3</v>
      </c>
      <c r="AF66" s="29">
        <f t="shared" si="12"/>
        <v>777</v>
      </c>
      <c r="AG66" s="29">
        <f t="shared" si="12"/>
        <v>-7674.600000000011</v>
      </c>
      <c r="AH66" s="29">
        <f t="shared" si="12"/>
        <v>515685.3699999999</v>
      </c>
      <c r="AI66" s="29">
        <f t="shared" si="12"/>
        <v>344253.118</v>
      </c>
      <c r="AJ66" s="29">
        <f t="shared" si="12"/>
        <v>7584.3120000000035</v>
      </c>
      <c r="AK66" s="29">
        <f t="shared" si="12"/>
        <v>39212</v>
      </c>
      <c r="AL66" s="29">
        <f t="shared" si="12"/>
        <v>20767</v>
      </c>
      <c r="AM66" s="29">
        <f t="shared" si="12"/>
        <v>11940</v>
      </c>
      <c r="AN66" s="29">
        <f t="shared" si="12"/>
        <v>146833</v>
      </c>
      <c r="AO66" s="29">
        <f t="shared" si="12"/>
        <v>1069541</v>
      </c>
      <c r="AP66" s="29">
        <f t="shared" si="12"/>
        <v>625794.2</v>
      </c>
      <c r="AQ66" s="29">
        <f t="shared" si="12"/>
        <v>60880</v>
      </c>
      <c r="AR66" s="29">
        <f t="shared" si="12"/>
        <v>2421.9</v>
      </c>
      <c r="AS66" s="29">
        <f t="shared" si="12"/>
        <v>96430</v>
      </c>
      <c r="AT66" s="29"/>
      <c r="AU66" s="42">
        <f t="shared" si="0"/>
        <v>7109955.283</v>
      </c>
      <c r="AV66" s="29"/>
      <c r="AW66" s="29"/>
      <c r="AX66" s="29"/>
      <c r="AY66" s="29"/>
      <c r="AZ66" s="29"/>
    </row>
    <row r="67" spans="1:51" ht="12.75" hidden="1">
      <c r="A67" s="246"/>
      <c r="U67" s="33"/>
      <c r="X67" s="30"/>
      <c r="Y67" s="30"/>
      <c r="Z67" s="30"/>
      <c r="AA67" s="30"/>
      <c r="AV67" s="29"/>
      <c r="AW67" s="29"/>
      <c r="AX67" s="29"/>
      <c r="AY67" s="29"/>
    </row>
    <row r="68" spans="1:52" ht="12.75">
      <c r="A68" s="246" t="s">
        <v>405</v>
      </c>
      <c r="B68" s="29">
        <v>954727</v>
      </c>
      <c r="C68" s="29">
        <v>0</v>
      </c>
      <c r="D68" s="29">
        <v>0</v>
      </c>
      <c r="E68" s="29">
        <v>624783</v>
      </c>
      <c r="F68" s="29">
        <v>68141.191</v>
      </c>
      <c r="G68" s="29">
        <v>27250.647</v>
      </c>
      <c r="H68" s="29">
        <f>(28278267+1462962)/1000</f>
        <v>29741.229</v>
      </c>
      <c r="I68" s="29">
        <v>0</v>
      </c>
      <c r="J68" s="29">
        <v>0</v>
      </c>
      <c r="K68" s="29">
        <v>70315</v>
      </c>
      <c r="L68" s="29">
        <v>191076</v>
      </c>
      <c r="M68" s="29">
        <v>72320</v>
      </c>
      <c r="N68" s="29">
        <v>167035</v>
      </c>
      <c r="O68" s="29">
        <v>39733</v>
      </c>
      <c r="P68" s="29">
        <v>16423559</v>
      </c>
      <c r="Q68" s="29">
        <v>137799</v>
      </c>
      <c r="R68" s="29">
        <v>265548</v>
      </c>
      <c r="S68" s="29">
        <v>122344</v>
      </c>
      <c r="T68" s="29">
        <v>2063</v>
      </c>
      <c r="U68" s="29">
        <v>685012</v>
      </c>
      <c r="V68" s="29">
        <v>0</v>
      </c>
      <c r="W68" s="29">
        <v>16540</v>
      </c>
      <c r="X68" s="30">
        <v>2220855.936</v>
      </c>
      <c r="Y68" s="30">
        <v>7021782.977</v>
      </c>
      <c r="Z68" s="30">
        <v>637351.243</v>
      </c>
      <c r="AA68" s="30">
        <v>0</v>
      </c>
      <c r="AB68" s="29">
        <v>202963.156</v>
      </c>
      <c r="AC68" s="29">
        <v>1650.4</v>
      </c>
      <c r="AD68" s="29">
        <v>7287.3</v>
      </c>
      <c r="AE68" s="29">
        <v>4016</v>
      </c>
      <c r="AF68" s="29">
        <v>4015</v>
      </c>
      <c r="AG68" s="29">
        <v>5336609</v>
      </c>
      <c r="AH68" s="29">
        <v>1627027.326</v>
      </c>
      <c r="AI68" s="29">
        <v>2277645.86</v>
      </c>
      <c r="AJ68" s="29">
        <v>712100.745</v>
      </c>
      <c r="AK68" s="29">
        <v>125348</v>
      </c>
      <c r="AL68" s="29">
        <v>0</v>
      </c>
      <c r="AM68" s="29">
        <v>0</v>
      </c>
      <c r="AN68" s="29">
        <v>283457</v>
      </c>
      <c r="AO68" s="29">
        <v>769186</v>
      </c>
      <c r="AP68" s="29">
        <v>493140.8</v>
      </c>
      <c r="AQ68" s="29">
        <v>0</v>
      </c>
      <c r="AR68" s="29">
        <v>0</v>
      </c>
      <c r="AS68" s="29">
        <v>1140053</v>
      </c>
      <c r="AT68" s="29"/>
      <c r="AU68" s="42">
        <f t="shared" si="0"/>
        <v>42762476.809999995</v>
      </c>
      <c r="AV68" s="29"/>
      <c r="AW68" s="29"/>
      <c r="AX68" s="29"/>
      <c r="AY68" s="29"/>
      <c r="AZ68" s="29"/>
    </row>
    <row r="69" spans="1:51" ht="12.75" hidden="1">
      <c r="A69" s="251"/>
      <c r="U69" s="33"/>
      <c r="X69" s="30"/>
      <c r="Y69" s="30"/>
      <c r="Z69" s="30"/>
      <c r="AA69" s="30"/>
      <c r="AV69" s="29"/>
      <c r="AX69" s="29"/>
      <c r="AY69" s="29"/>
    </row>
    <row r="70" spans="1:51" ht="12.75">
      <c r="A70" s="246"/>
      <c r="U70" s="33"/>
      <c r="X70" s="30"/>
      <c r="Y70" s="30"/>
      <c r="Z70" s="30"/>
      <c r="AA70" s="30"/>
      <c r="AV70" s="29"/>
      <c r="AX70" s="29"/>
      <c r="AY70" s="29"/>
    </row>
    <row r="71" spans="1:52" s="105" customFormat="1" ht="13.5">
      <c r="A71" s="256" t="s">
        <v>447</v>
      </c>
      <c r="B71" s="36">
        <f>+B66+B68</f>
        <v>1188745.647</v>
      </c>
      <c r="C71" s="36">
        <f>+C66+C68</f>
        <v>194711.695</v>
      </c>
      <c r="D71" s="36">
        <f aca="true" t="shared" si="13" ref="D71:AS71">+D66+D68</f>
        <v>79275.71900000001</v>
      </c>
      <c r="E71" s="36">
        <f t="shared" si="13"/>
        <v>1068965</v>
      </c>
      <c r="F71" s="36">
        <f t="shared" si="13"/>
        <v>127789.79400000001</v>
      </c>
      <c r="G71" s="36">
        <f t="shared" si="13"/>
        <v>138732.96600000001</v>
      </c>
      <c r="H71" s="36">
        <f t="shared" si="13"/>
        <v>58758.289000000004</v>
      </c>
      <c r="I71" s="36">
        <f t="shared" si="13"/>
        <v>3927.488</v>
      </c>
      <c r="J71" s="36">
        <f t="shared" si="13"/>
        <v>5919.44</v>
      </c>
      <c r="K71" s="36">
        <f t="shared" si="13"/>
        <v>122564</v>
      </c>
      <c r="L71" s="36">
        <f t="shared" si="13"/>
        <v>430479</v>
      </c>
      <c r="M71" s="36">
        <f t="shared" si="13"/>
        <v>131913</v>
      </c>
      <c r="N71" s="36">
        <f t="shared" si="13"/>
        <v>309377</v>
      </c>
      <c r="O71" s="36">
        <f t="shared" si="13"/>
        <v>72763</v>
      </c>
      <c r="P71" s="36">
        <f t="shared" si="13"/>
        <v>15633488</v>
      </c>
      <c r="Q71" s="36">
        <f t="shared" si="13"/>
        <v>568220</v>
      </c>
      <c r="R71" s="36">
        <f t="shared" si="13"/>
        <v>1602274</v>
      </c>
      <c r="S71" s="36">
        <f t="shared" si="13"/>
        <v>125959</v>
      </c>
      <c r="T71" s="36">
        <f t="shared" si="13"/>
        <v>84673</v>
      </c>
      <c r="U71" s="36">
        <f t="shared" si="13"/>
        <v>811726</v>
      </c>
      <c r="V71" s="36">
        <f t="shared" si="13"/>
        <v>7082.344000000001</v>
      </c>
      <c r="W71" s="36">
        <f t="shared" si="13"/>
        <v>49734</v>
      </c>
      <c r="X71" s="36">
        <f t="shared" si="13"/>
        <v>2640404.919</v>
      </c>
      <c r="Y71" s="36">
        <f t="shared" si="13"/>
        <v>7556675.449</v>
      </c>
      <c r="Z71" s="36">
        <f t="shared" si="13"/>
        <v>605069.738</v>
      </c>
      <c r="AA71" s="36">
        <f t="shared" si="13"/>
        <v>150221.47799999994</v>
      </c>
      <c r="AB71" s="36">
        <f t="shared" si="13"/>
        <v>358185.996</v>
      </c>
      <c r="AC71" s="36">
        <f t="shared" si="13"/>
        <v>7210.1</v>
      </c>
      <c r="AD71" s="36">
        <f t="shared" si="13"/>
        <v>18912.699999999997</v>
      </c>
      <c r="AE71" s="36">
        <f t="shared" si="13"/>
        <v>15646.3</v>
      </c>
      <c r="AF71" s="36">
        <f t="shared" si="13"/>
        <v>4792</v>
      </c>
      <c r="AG71" s="36">
        <f t="shared" si="13"/>
        <v>5328934.4</v>
      </c>
      <c r="AH71" s="36">
        <f t="shared" si="13"/>
        <v>2142712.6959999995</v>
      </c>
      <c r="AI71" s="36">
        <f t="shared" si="13"/>
        <v>2621898.978</v>
      </c>
      <c r="AJ71" s="36">
        <f t="shared" si="13"/>
        <v>719685.057</v>
      </c>
      <c r="AK71" s="36">
        <f t="shared" si="13"/>
        <v>164560</v>
      </c>
      <c r="AL71" s="36">
        <f t="shared" si="13"/>
        <v>20767</v>
      </c>
      <c r="AM71" s="36">
        <f t="shared" si="13"/>
        <v>11940</v>
      </c>
      <c r="AN71" s="36">
        <f t="shared" si="13"/>
        <v>430290</v>
      </c>
      <c r="AO71" s="36">
        <f t="shared" si="13"/>
        <v>1838727</v>
      </c>
      <c r="AP71" s="36">
        <f t="shared" si="13"/>
        <v>1118935</v>
      </c>
      <c r="AQ71" s="36">
        <f t="shared" si="13"/>
        <v>60880</v>
      </c>
      <c r="AR71" s="36">
        <f t="shared" si="13"/>
        <v>2421.9</v>
      </c>
      <c r="AS71" s="36">
        <f t="shared" si="13"/>
        <v>1236483</v>
      </c>
      <c r="AT71" s="36"/>
      <c r="AU71" s="105">
        <f t="shared" si="0"/>
        <v>49872432.093</v>
      </c>
      <c r="AV71" s="36"/>
      <c r="AX71" s="36"/>
      <c r="AY71" s="36"/>
      <c r="AZ71" s="36"/>
    </row>
    <row r="72" spans="1:42" ht="12.75">
      <c r="A72" s="166"/>
      <c r="AP72" s="166"/>
    </row>
    <row r="73" spans="2:48" ht="12.7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</row>
    <row r="74" spans="1:48" ht="15.75">
      <c r="A74" s="226" t="s">
        <v>446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</row>
    <row r="75" ht="13.5">
      <c r="A75" s="263" t="s">
        <v>445</v>
      </c>
    </row>
    <row r="76" spans="1:52" s="93" customFormat="1" ht="12.75">
      <c r="A76" s="246" t="s">
        <v>444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/>
      <c r="AG76" s="29">
        <v>0</v>
      </c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42">
        <f aca="true" t="shared" si="14" ref="AU76:AU106">SUM(B76:AS76)</f>
        <v>0</v>
      </c>
      <c r="AV76" s="29"/>
      <c r="AW76" s="29"/>
      <c r="AX76" s="29"/>
      <c r="AY76" s="29"/>
      <c r="AZ76" s="29"/>
    </row>
    <row r="77" spans="1:51" s="93" customFormat="1" ht="12.75" hidden="1">
      <c r="A77" s="247"/>
      <c r="M77" s="1"/>
      <c r="N77" s="1"/>
      <c r="X77" s="33"/>
      <c r="Y77" s="33"/>
      <c r="Z77" s="33"/>
      <c r="AA77" s="33"/>
      <c r="AU77" s="42"/>
      <c r="AV77" s="29"/>
      <c r="AW77" s="29"/>
      <c r="AX77" s="29"/>
      <c r="AY77" s="29"/>
    </row>
    <row r="78" spans="1:51" s="93" customFormat="1" ht="12.75" hidden="1">
      <c r="A78" s="246" t="s">
        <v>326</v>
      </c>
      <c r="M78" s="1"/>
      <c r="N78" s="1"/>
      <c r="X78" s="33"/>
      <c r="Y78" s="33"/>
      <c r="Z78" s="33"/>
      <c r="AA78" s="33"/>
      <c r="AU78" s="42"/>
      <c r="AV78" s="29"/>
      <c r="AW78" s="29"/>
      <c r="AX78" s="29"/>
      <c r="AY78" s="29"/>
    </row>
    <row r="79" spans="1:52" s="93" customFormat="1" ht="12.75" hidden="1">
      <c r="A79" s="247" t="s">
        <v>327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/>
      <c r="AU79" s="42">
        <f t="shared" si="14"/>
        <v>0</v>
      </c>
      <c r="AV79" s="29"/>
      <c r="AW79" s="29"/>
      <c r="AX79" s="29"/>
      <c r="AY79" s="29"/>
      <c r="AZ79" s="30"/>
    </row>
    <row r="80" spans="1:52" s="93" customFormat="1" ht="12.75" hidden="1">
      <c r="A80" s="248" t="s">
        <v>328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/>
      <c r="AU80" s="42">
        <f t="shared" si="14"/>
        <v>0</v>
      </c>
      <c r="AV80" s="29"/>
      <c r="AW80" s="29"/>
      <c r="AX80" s="29"/>
      <c r="AY80" s="29"/>
      <c r="AZ80" s="30"/>
    </row>
    <row r="81" spans="1:52" s="93" customFormat="1" ht="12.75" hidden="1">
      <c r="A81" s="248" t="s">
        <v>329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/>
      <c r="AU81" s="42">
        <f t="shared" si="14"/>
        <v>0</v>
      </c>
      <c r="AV81" s="29"/>
      <c r="AW81" s="29"/>
      <c r="AX81" s="29"/>
      <c r="AY81" s="29"/>
      <c r="AZ81" s="30"/>
    </row>
    <row r="82" spans="1:52" s="93" customFormat="1" ht="12.75" hidden="1">
      <c r="A82" s="248" t="s">
        <v>330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/>
      <c r="AU82" s="42">
        <f t="shared" si="14"/>
        <v>0</v>
      </c>
      <c r="AV82" s="29"/>
      <c r="AW82" s="29"/>
      <c r="AX82" s="29"/>
      <c r="AY82" s="29"/>
      <c r="AZ82" s="30"/>
    </row>
    <row r="83" spans="1:52" s="93" customFormat="1" ht="12.75" hidden="1">
      <c r="A83" s="247" t="s">
        <v>331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/>
      <c r="AU83" s="42">
        <f t="shared" si="14"/>
        <v>0</v>
      </c>
      <c r="AV83" s="29"/>
      <c r="AW83" s="29"/>
      <c r="AX83" s="29"/>
      <c r="AY83" s="29"/>
      <c r="AZ83" s="30"/>
    </row>
    <row r="84" spans="1:52" s="93" customFormat="1" ht="12.75" hidden="1">
      <c r="A84" s="247" t="s">
        <v>332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/>
      <c r="AU84" s="42">
        <f t="shared" si="14"/>
        <v>0</v>
      </c>
      <c r="AV84" s="29"/>
      <c r="AW84" s="29"/>
      <c r="AX84" s="29"/>
      <c r="AY84" s="29"/>
      <c r="AZ84" s="30"/>
    </row>
    <row r="85" spans="1:52" s="93" customFormat="1" ht="12.75" hidden="1">
      <c r="A85" s="247"/>
      <c r="U85" s="33"/>
      <c r="X85" s="33"/>
      <c r="Y85" s="33"/>
      <c r="Z85" s="33"/>
      <c r="AA85" s="33"/>
      <c r="AU85" s="42"/>
      <c r="AV85" s="29"/>
      <c r="AW85" s="29"/>
      <c r="AX85" s="29"/>
      <c r="AY85" s="29"/>
      <c r="AZ85" s="30"/>
    </row>
    <row r="86" spans="1:52" s="93" customFormat="1" ht="12.75" hidden="1">
      <c r="A86" s="249" t="s">
        <v>333</v>
      </c>
      <c r="U86" s="33"/>
      <c r="X86" s="33"/>
      <c r="Y86" s="33"/>
      <c r="Z86" s="33"/>
      <c r="AA86" s="33"/>
      <c r="AU86" s="42"/>
      <c r="AV86" s="29"/>
      <c r="AW86" s="29"/>
      <c r="AX86" s="29"/>
      <c r="AY86" s="29"/>
      <c r="AZ86" s="30"/>
    </row>
    <row r="87" spans="1:52" s="93" customFormat="1" ht="12.75" hidden="1">
      <c r="A87" s="247" t="s">
        <v>334</v>
      </c>
      <c r="B87" s="30">
        <v>841322.276</v>
      </c>
      <c r="C87" s="30">
        <v>181701.365</v>
      </c>
      <c r="D87" s="30">
        <v>0</v>
      </c>
      <c r="E87" s="30">
        <v>0</v>
      </c>
      <c r="F87" s="30">
        <v>41145.375</v>
      </c>
      <c r="G87" s="30">
        <v>25475.481</v>
      </c>
      <c r="H87" s="30">
        <f>48184148/1000</f>
        <v>48184.148</v>
      </c>
      <c r="I87" s="30">
        <f>3398898/1000</f>
        <v>3398.898</v>
      </c>
      <c r="J87" s="30">
        <v>0</v>
      </c>
      <c r="K87" s="30">
        <v>0</v>
      </c>
      <c r="L87" s="30">
        <v>0</v>
      </c>
      <c r="M87" s="30">
        <v>35648</v>
      </c>
      <c r="N87" s="30">
        <v>97426</v>
      </c>
      <c r="O87" s="30">
        <v>69257</v>
      </c>
      <c r="P87" s="30">
        <v>6830968</v>
      </c>
      <c r="Q87" s="30">
        <v>531367</v>
      </c>
      <c r="R87" s="30">
        <v>0</v>
      </c>
      <c r="S87" s="30">
        <v>43537</v>
      </c>
      <c r="T87" s="30">
        <v>0</v>
      </c>
      <c r="U87" s="30">
        <v>0</v>
      </c>
      <c r="V87" s="30">
        <v>7069.958</v>
      </c>
      <c r="W87" s="30">
        <v>16168</v>
      </c>
      <c r="X87" s="30">
        <v>2157259.552</v>
      </c>
      <c r="Y87" s="30">
        <v>6762062.029</v>
      </c>
      <c r="Z87" s="30">
        <v>532519.465</v>
      </c>
      <c r="AA87" s="30">
        <v>0</v>
      </c>
      <c r="AB87" s="30">
        <v>109402.677</v>
      </c>
      <c r="AC87" s="30">
        <v>1283.8</v>
      </c>
      <c r="AD87" s="30">
        <v>6191.3</v>
      </c>
      <c r="AE87" s="30">
        <v>1725.5</v>
      </c>
      <c r="AF87" s="30">
        <v>4661</v>
      </c>
      <c r="AG87" s="30">
        <v>4081946.4</v>
      </c>
      <c r="AH87" s="30">
        <v>1938506.744</v>
      </c>
      <c r="AI87" s="30">
        <v>2456972.986</v>
      </c>
      <c r="AJ87" s="30">
        <v>651627.734</v>
      </c>
      <c r="AK87" s="30">
        <v>115495</v>
      </c>
      <c r="AL87" s="30">
        <v>20264</v>
      </c>
      <c r="AM87" s="30">
        <v>0</v>
      </c>
      <c r="AN87" s="30">
        <v>418604</v>
      </c>
      <c r="AO87" s="30">
        <v>1761138</v>
      </c>
      <c r="AP87" s="30">
        <v>1010995</v>
      </c>
      <c r="AQ87" s="30">
        <v>0</v>
      </c>
      <c r="AR87" s="30">
        <v>2421.8</v>
      </c>
      <c r="AS87" s="30">
        <v>1061144</v>
      </c>
      <c r="AT87" s="30"/>
      <c r="AU87" s="42">
        <f t="shared" si="14"/>
        <v>31866889.488</v>
      </c>
      <c r="AV87" s="29"/>
      <c r="AW87" s="29"/>
      <c r="AX87" s="29"/>
      <c r="AY87" s="29"/>
      <c r="AZ87" s="30"/>
    </row>
    <row r="88" spans="1:52" s="93" customFormat="1" ht="12.75" hidden="1">
      <c r="A88" s="247" t="s">
        <v>335</v>
      </c>
      <c r="B88" s="30">
        <v>305054.617</v>
      </c>
      <c r="C88" s="30">
        <v>8827.31</v>
      </c>
      <c r="D88" s="30">
        <v>0</v>
      </c>
      <c r="E88" s="30">
        <v>0</v>
      </c>
      <c r="F88" s="30">
        <v>81445.215</v>
      </c>
      <c r="G88" s="30">
        <v>103175.976</v>
      </c>
      <c r="H88" s="30">
        <f>5665088/1000</f>
        <v>5665.088</v>
      </c>
      <c r="I88" s="30">
        <v>0</v>
      </c>
      <c r="J88" s="30">
        <v>0</v>
      </c>
      <c r="K88" s="30">
        <v>0</v>
      </c>
      <c r="L88" s="30">
        <v>0</v>
      </c>
      <c r="M88" s="30">
        <v>85513</v>
      </c>
      <c r="N88" s="30">
        <v>186730</v>
      </c>
      <c r="O88" s="30">
        <v>0</v>
      </c>
      <c r="P88" s="30">
        <v>8391974</v>
      </c>
      <c r="Q88" s="30">
        <v>257</v>
      </c>
      <c r="R88" s="30">
        <v>0</v>
      </c>
      <c r="S88" s="30">
        <v>80853</v>
      </c>
      <c r="T88" s="30">
        <v>81623</v>
      </c>
      <c r="U88" s="30">
        <v>0</v>
      </c>
      <c r="V88" s="30">
        <v>0</v>
      </c>
      <c r="W88" s="30">
        <v>28758</v>
      </c>
      <c r="X88" s="30">
        <v>368758.29</v>
      </c>
      <c r="Y88" s="30">
        <v>420639.799</v>
      </c>
      <c r="Z88" s="30">
        <v>39722.14</v>
      </c>
      <c r="AA88" s="30">
        <v>0</v>
      </c>
      <c r="AB88" s="30">
        <v>216775.905</v>
      </c>
      <c r="AC88" s="30">
        <v>5792.6</v>
      </c>
      <c r="AD88" s="30">
        <v>12373.3</v>
      </c>
      <c r="AE88" s="30">
        <v>9009.5</v>
      </c>
      <c r="AF88" s="30">
        <v>0</v>
      </c>
      <c r="AG88" s="30">
        <v>507792.4</v>
      </c>
      <c r="AH88" s="30">
        <v>141206.223</v>
      </c>
      <c r="AI88" s="30">
        <v>182536</v>
      </c>
      <c r="AJ88" s="30">
        <v>65009.285</v>
      </c>
      <c r="AK88" s="30">
        <v>44149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82129</v>
      </c>
      <c r="AT88" s="30"/>
      <c r="AU88" s="42">
        <f t="shared" si="14"/>
        <v>11455769.648</v>
      </c>
      <c r="AV88" s="29"/>
      <c r="AW88" s="29"/>
      <c r="AX88" s="29"/>
      <c r="AY88" s="29"/>
      <c r="AZ88" s="30"/>
    </row>
    <row r="89" spans="1:52" s="93" customFormat="1" ht="12.75" hidden="1">
      <c r="A89" s="247" t="s">
        <v>336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87014.97</v>
      </c>
      <c r="Y89" s="30">
        <v>305977.667</v>
      </c>
      <c r="Z89" s="30">
        <v>28894.01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679735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89619</v>
      </c>
      <c r="AT89" s="30"/>
      <c r="AU89" s="42">
        <f t="shared" si="14"/>
        <v>1191240.6469999999</v>
      </c>
      <c r="AV89" s="29"/>
      <c r="AW89" s="29"/>
      <c r="AX89" s="29"/>
      <c r="AY89" s="29"/>
      <c r="AZ89" s="30"/>
    </row>
    <row r="90" spans="1:52" s="93" customFormat="1" ht="12.75" hidden="1">
      <c r="A90" s="247" t="s">
        <v>337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  <c r="AT90" s="30"/>
      <c r="AU90" s="42">
        <f t="shared" si="14"/>
        <v>0</v>
      </c>
      <c r="AV90" s="29"/>
      <c r="AW90" s="29"/>
      <c r="AX90" s="29"/>
      <c r="AY90" s="29"/>
      <c r="AZ90" s="30"/>
    </row>
    <row r="91" spans="1:52" s="93" customFormat="1" ht="12.75" hidden="1">
      <c r="A91" s="247" t="s">
        <v>338</v>
      </c>
      <c r="B91" s="30">
        <v>0</v>
      </c>
      <c r="C91" s="30">
        <v>0</v>
      </c>
      <c r="D91" s="30">
        <v>79354.4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f>5164567/1000</f>
        <v>5164.567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1538549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148716.275</v>
      </c>
      <c r="AB91" s="30">
        <v>924.468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60789.5</v>
      </c>
      <c r="AR91" s="30">
        <v>0</v>
      </c>
      <c r="AS91" s="30">
        <v>0</v>
      </c>
      <c r="AT91" s="30"/>
      <c r="AU91" s="42">
        <f t="shared" si="14"/>
        <v>1833498.21</v>
      </c>
      <c r="AV91" s="29"/>
      <c r="AW91" s="29"/>
      <c r="AX91" s="29"/>
      <c r="AY91" s="29"/>
      <c r="AZ91" s="30"/>
    </row>
    <row r="92" spans="1:52" s="93" customFormat="1" ht="12.75" hidden="1">
      <c r="A92" s="247" t="s">
        <v>339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257286</v>
      </c>
      <c r="Q92" s="30">
        <v>0</v>
      </c>
      <c r="R92" s="30">
        <v>0</v>
      </c>
      <c r="S92" s="30">
        <v>0</v>
      </c>
      <c r="T92" s="30">
        <v>0</v>
      </c>
      <c r="U92" s="30">
        <v>811726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/>
      <c r="AU92" s="42">
        <f t="shared" si="14"/>
        <v>1069012</v>
      </c>
      <c r="AV92" s="29"/>
      <c r="AW92" s="29"/>
      <c r="AX92" s="29"/>
      <c r="AY92" s="29"/>
      <c r="AZ92" s="30"/>
    </row>
    <row r="93" spans="1:52" s="93" customFormat="1" ht="12.75" hidden="1">
      <c r="A93" s="264" t="s">
        <v>340</v>
      </c>
      <c r="B93" s="29">
        <f aca="true" t="shared" si="15" ref="B93:AA93">SUM(B87:B92)</f>
        <v>1146376.893</v>
      </c>
      <c r="C93" s="29">
        <f t="shared" si="15"/>
        <v>190528.675</v>
      </c>
      <c r="D93" s="29">
        <f t="shared" si="15"/>
        <v>79354.4</v>
      </c>
      <c r="E93" s="29">
        <f t="shared" si="15"/>
        <v>0</v>
      </c>
      <c r="F93" s="29">
        <f t="shared" si="15"/>
        <v>122590.59</v>
      </c>
      <c r="G93" s="29">
        <f t="shared" si="15"/>
        <v>128651.457</v>
      </c>
      <c r="H93" s="29">
        <f t="shared" si="15"/>
        <v>53849.236000000004</v>
      </c>
      <c r="I93" s="29">
        <f t="shared" si="15"/>
        <v>3398.898</v>
      </c>
      <c r="J93" s="29">
        <f t="shared" si="15"/>
        <v>5164.567</v>
      </c>
      <c r="K93" s="29">
        <f t="shared" si="15"/>
        <v>0</v>
      </c>
      <c r="L93" s="29">
        <f t="shared" si="15"/>
        <v>0</v>
      </c>
      <c r="M93" s="29">
        <f t="shared" si="15"/>
        <v>121161</v>
      </c>
      <c r="N93" s="29">
        <f t="shared" si="15"/>
        <v>284156</v>
      </c>
      <c r="O93" s="29">
        <f t="shared" si="15"/>
        <v>69257</v>
      </c>
      <c r="P93" s="29">
        <f t="shared" si="15"/>
        <v>15480228</v>
      </c>
      <c r="Q93" s="29">
        <f t="shared" si="15"/>
        <v>531624</v>
      </c>
      <c r="R93" s="29">
        <f t="shared" si="15"/>
        <v>1538549</v>
      </c>
      <c r="S93" s="29">
        <f t="shared" si="15"/>
        <v>124390</v>
      </c>
      <c r="T93" s="29">
        <f t="shared" si="15"/>
        <v>81623</v>
      </c>
      <c r="U93" s="29">
        <f t="shared" si="15"/>
        <v>811726</v>
      </c>
      <c r="V93" s="29">
        <f t="shared" si="15"/>
        <v>7069.958</v>
      </c>
      <c r="W93" s="29">
        <f t="shared" si="15"/>
        <v>44926</v>
      </c>
      <c r="X93" s="29">
        <f t="shared" si="15"/>
        <v>2613032.8120000004</v>
      </c>
      <c r="Y93" s="29">
        <f t="shared" si="15"/>
        <v>7488679.495</v>
      </c>
      <c r="Z93" s="29">
        <f t="shared" si="15"/>
        <v>601135.615</v>
      </c>
      <c r="AA93" s="29">
        <f t="shared" si="15"/>
        <v>148716.275</v>
      </c>
      <c r="AB93" s="29">
        <f aca="true" t="shared" si="16" ref="AB93:AS93">SUM(AB87:AB92)</f>
        <v>327103.05</v>
      </c>
      <c r="AC93" s="29">
        <f t="shared" si="16"/>
        <v>7076.400000000001</v>
      </c>
      <c r="AD93" s="29">
        <f t="shared" si="16"/>
        <v>18564.6</v>
      </c>
      <c r="AE93" s="29">
        <f t="shared" si="16"/>
        <v>10735</v>
      </c>
      <c r="AF93" s="29">
        <f t="shared" si="16"/>
        <v>4661</v>
      </c>
      <c r="AG93" s="29">
        <f t="shared" si="16"/>
        <v>5269473.8</v>
      </c>
      <c r="AH93" s="29">
        <f t="shared" si="16"/>
        <v>2079712.967</v>
      </c>
      <c r="AI93" s="29">
        <f t="shared" si="16"/>
        <v>2639508.986</v>
      </c>
      <c r="AJ93" s="29">
        <f t="shared" si="16"/>
        <v>716637.0190000001</v>
      </c>
      <c r="AK93" s="29">
        <f t="shared" si="16"/>
        <v>159644</v>
      </c>
      <c r="AL93" s="29">
        <f t="shared" si="16"/>
        <v>20264</v>
      </c>
      <c r="AM93" s="29">
        <f t="shared" si="16"/>
        <v>0</v>
      </c>
      <c r="AN93" s="29">
        <f t="shared" si="16"/>
        <v>418604</v>
      </c>
      <c r="AO93" s="29">
        <f t="shared" si="16"/>
        <v>1761138</v>
      </c>
      <c r="AP93" s="29">
        <f t="shared" si="16"/>
        <v>1010995</v>
      </c>
      <c r="AQ93" s="29">
        <f t="shared" si="16"/>
        <v>60789.5</v>
      </c>
      <c r="AR93" s="29">
        <f t="shared" si="16"/>
        <v>2421.8</v>
      </c>
      <c r="AS93" s="29">
        <f t="shared" si="16"/>
        <v>1232892</v>
      </c>
      <c r="AT93" s="29"/>
      <c r="AU93" s="42">
        <f t="shared" si="14"/>
        <v>47416409.99299999</v>
      </c>
      <c r="AV93" s="29"/>
      <c r="AW93" s="29"/>
      <c r="AX93" s="29"/>
      <c r="AY93" s="29"/>
      <c r="AZ93" s="30"/>
    </row>
    <row r="94" spans="1:52" s="93" customFormat="1" ht="12.75">
      <c r="A94" s="260" t="s">
        <v>341</v>
      </c>
      <c r="B94" s="29">
        <f aca="true" t="shared" si="17" ref="B94:AA94">+SUM(B76:B84)+B93</f>
        <v>1146376.893</v>
      </c>
      <c r="C94" s="29">
        <f t="shared" si="17"/>
        <v>190528.675</v>
      </c>
      <c r="D94" s="29">
        <f t="shared" si="17"/>
        <v>79354.4</v>
      </c>
      <c r="E94" s="29">
        <f t="shared" si="17"/>
        <v>0</v>
      </c>
      <c r="F94" s="29">
        <f t="shared" si="17"/>
        <v>122590.59</v>
      </c>
      <c r="G94" s="29">
        <f t="shared" si="17"/>
        <v>128651.457</v>
      </c>
      <c r="H94" s="29">
        <f t="shared" si="17"/>
        <v>53849.236000000004</v>
      </c>
      <c r="I94" s="29">
        <f t="shared" si="17"/>
        <v>3398.898</v>
      </c>
      <c r="J94" s="29">
        <f t="shared" si="17"/>
        <v>5164.567</v>
      </c>
      <c r="K94" s="29">
        <f t="shared" si="17"/>
        <v>0</v>
      </c>
      <c r="L94" s="29">
        <f t="shared" si="17"/>
        <v>0</v>
      </c>
      <c r="M94" s="29">
        <f t="shared" si="17"/>
        <v>121161</v>
      </c>
      <c r="N94" s="29">
        <f t="shared" si="17"/>
        <v>284156</v>
      </c>
      <c r="O94" s="29">
        <f t="shared" si="17"/>
        <v>69257</v>
      </c>
      <c r="P94" s="29">
        <f t="shared" si="17"/>
        <v>15480228</v>
      </c>
      <c r="Q94" s="29">
        <f t="shared" si="17"/>
        <v>531624</v>
      </c>
      <c r="R94" s="29">
        <f t="shared" si="17"/>
        <v>1538549</v>
      </c>
      <c r="S94" s="29">
        <f t="shared" si="17"/>
        <v>124390</v>
      </c>
      <c r="T94" s="29">
        <f t="shared" si="17"/>
        <v>81623</v>
      </c>
      <c r="U94" s="29">
        <f t="shared" si="17"/>
        <v>811726</v>
      </c>
      <c r="V94" s="29">
        <f t="shared" si="17"/>
        <v>7069.958</v>
      </c>
      <c r="W94" s="29">
        <f t="shared" si="17"/>
        <v>44926</v>
      </c>
      <c r="X94" s="29">
        <f t="shared" si="17"/>
        <v>2613032.8120000004</v>
      </c>
      <c r="Y94" s="29">
        <f t="shared" si="17"/>
        <v>7488679.495</v>
      </c>
      <c r="Z94" s="29">
        <f t="shared" si="17"/>
        <v>601135.615</v>
      </c>
      <c r="AA94" s="29">
        <f t="shared" si="17"/>
        <v>148716.275</v>
      </c>
      <c r="AB94" s="29">
        <f aca="true" t="shared" si="18" ref="AB94:AS94">+SUM(AB76:AB84)+AB93</f>
        <v>327103.05</v>
      </c>
      <c r="AC94" s="29">
        <f t="shared" si="18"/>
        <v>7076.400000000001</v>
      </c>
      <c r="AD94" s="29">
        <f t="shared" si="18"/>
        <v>18564.6</v>
      </c>
      <c r="AE94" s="29">
        <f t="shared" si="18"/>
        <v>10735</v>
      </c>
      <c r="AF94" s="29">
        <f t="shared" si="18"/>
        <v>4661</v>
      </c>
      <c r="AG94" s="29">
        <f t="shared" si="18"/>
        <v>5269473.8</v>
      </c>
      <c r="AH94" s="29">
        <f t="shared" si="18"/>
        <v>2079712.967</v>
      </c>
      <c r="AI94" s="29">
        <f t="shared" si="18"/>
        <v>2639508.986</v>
      </c>
      <c r="AJ94" s="29">
        <f t="shared" si="18"/>
        <v>716637.0190000001</v>
      </c>
      <c r="AK94" s="29">
        <f t="shared" si="18"/>
        <v>159644</v>
      </c>
      <c r="AL94" s="29">
        <f t="shared" si="18"/>
        <v>20264</v>
      </c>
      <c r="AM94" s="29">
        <f t="shared" si="18"/>
        <v>0</v>
      </c>
      <c r="AN94" s="29">
        <f t="shared" si="18"/>
        <v>418604</v>
      </c>
      <c r="AO94" s="29">
        <f t="shared" si="18"/>
        <v>1761138</v>
      </c>
      <c r="AP94" s="29">
        <f t="shared" si="18"/>
        <v>1010995</v>
      </c>
      <c r="AQ94" s="29">
        <f t="shared" si="18"/>
        <v>60789.5</v>
      </c>
      <c r="AR94" s="29">
        <f t="shared" si="18"/>
        <v>2421.8</v>
      </c>
      <c r="AS94" s="29">
        <f t="shared" si="18"/>
        <v>1232892</v>
      </c>
      <c r="AT94" s="29"/>
      <c r="AU94" s="42">
        <f t="shared" si="14"/>
        <v>47416409.99299999</v>
      </c>
      <c r="AV94" s="29"/>
      <c r="AW94" s="29"/>
      <c r="AX94" s="29"/>
      <c r="AY94" s="29"/>
      <c r="AZ94" s="30"/>
    </row>
    <row r="95" spans="1:52" s="93" customFormat="1" ht="13.5" hidden="1">
      <c r="A95" s="250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30"/>
      <c r="Z95" s="30"/>
      <c r="AA95" s="30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42"/>
      <c r="AV95" s="29"/>
      <c r="AW95" s="29"/>
      <c r="AX95" s="29"/>
      <c r="AY95" s="29"/>
      <c r="AZ95" s="30"/>
    </row>
    <row r="96" spans="1:52" s="93" customFormat="1" ht="12.75" hidden="1">
      <c r="A96" s="246" t="s">
        <v>346</v>
      </c>
      <c r="U96" s="33"/>
      <c r="X96" s="30"/>
      <c r="Y96" s="30"/>
      <c r="Z96" s="30"/>
      <c r="AA96" s="30"/>
      <c r="AU96" s="42"/>
      <c r="AV96" s="29"/>
      <c r="AW96" s="29"/>
      <c r="AX96" s="29"/>
      <c r="AY96" s="29"/>
      <c r="AZ96" s="30"/>
    </row>
    <row r="97" spans="1:52" s="93" customFormat="1" ht="12.75" hidden="1">
      <c r="A97" s="248" t="s">
        <v>343</v>
      </c>
      <c r="B97" s="30">
        <v>0</v>
      </c>
      <c r="C97" s="30">
        <v>0</v>
      </c>
      <c r="D97" s="30">
        <v>0</v>
      </c>
      <c r="E97" s="30">
        <v>1068965.05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-200.923</v>
      </c>
      <c r="AI97" s="30">
        <v>-1204.432</v>
      </c>
      <c r="AJ97" s="30">
        <v>1405.355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/>
      <c r="AU97" s="42">
        <f t="shared" si="14"/>
        <v>1068965.05</v>
      </c>
      <c r="AV97" s="29"/>
      <c r="AW97" s="29"/>
      <c r="AX97" s="29"/>
      <c r="AY97" s="29"/>
      <c r="AZ97" s="30"/>
    </row>
    <row r="98" spans="1:52" s="93" customFormat="1" ht="12.75" hidden="1">
      <c r="A98" s="247" t="s">
        <v>344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4000</v>
      </c>
      <c r="L98" s="30">
        <v>10870</v>
      </c>
      <c r="M98" s="30">
        <v>3369</v>
      </c>
      <c r="N98" s="30">
        <v>8330</v>
      </c>
      <c r="O98" s="30">
        <v>0</v>
      </c>
      <c r="P98" s="30">
        <v>0</v>
      </c>
      <c r="Q98" s="30">
        <v>0</v>
      </c>
      <c r="R98" s="30">
        <v>0</v>
      </c>
      <c r="S98" s="30">
        <v>1569</v>
      </c>
      <c r="T98" s="30">
        <v>3050</v>
      </c>
      <c r="U98" s="30">
        <v>0</v>
      </c>
      <c r="V98" s="30">
        <v>0</v>
      </c>
      <c r="W98" s="30">
        <v>5053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133.7</v>
      </c>
      <c r="AD98" s="30">
        <v>348.1</v>
      </c>
      <c r="AE98" s="30">
        <v>2046</v>
      </c>
      <c r="AF98" s="30">
        <v>83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/>
      <c r="AU98" s="42">
        <f t="shared" si="14"/>
        <v>38851.799999999996</v>
      </c>
      <c r="AV98" s="29"/>
      <c r="AW98" s="29"/>
      <c r="AX98" s="29"/>
      <c r="AY98" s="29"/>
      <c r="AZ98" s="30"/>
    </row>
    <row r="99" spans="1:52" s="93" customFormat="1" ht="12.75" hidden="1">
      <c r="A99" s="247" t="s">
        <v>345</v>
      </c>
      <c r="B99" s="30">
        <v>67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118564</v>
      </c>
      <c r="L99" s="30">
        <v>419609</v>
      </c>
      <c r="M99" s="30">
        <v>0</v>
      </c>
      <c r="N99" s="30">
        <v>0</v>
      </c>
      <c r="O99" s="30">
        <v>3426</v>
      </c>
      <c r="P99" s="30">
        <v>2984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1034.767</v>
      </c>
      <c r="W99" s="30">
        <f>-321+73</f>
        <v>-248</v>
      </c>
      <c r="X99" s="30">
        <v>685.448</v>
      </c>
      <c r="Y99" s="30">
        <v>2878.372</v>
      </c>
      <c r="Z99" s="30">
        <v>297.649</v>
      </c>
      <c r="AA99" s="30">
        <v>0</v>
      </c>
      <c r="AB99" s="30">
        <v>31082.945</v>
      </c>
      <c r="AC99" s="30">
        <v>0</v>
      </c>
      <c r="AD99" s="30">
        <v>0</v>
      </c>
      <c r="AE99" s="30">
        <v>0</v>
      </c>
      <c r="AF99" s="30">
        <v>0</v>
      </c>
      <c r="AG99" s="30">
        <v>2436.5</v>
      </c>
      <c r="AH99" s="30">
        <v>63296.94</v>
      </c>
      <c r="AI99" s="30">
        <v>762.063</v>
      </c>
      <c r="AJ99" s="30">
        <v>8209.176</v>
      </c>
      <c r="AK99" s="30">
        <v>0</v>
      </c>
      <c r="AL99" s="30">
        <v>0</v>
      </c>
      <c r="AM99" s="30">
        <v>0</v>
      </c>
      <c r="AN99" s="30">
        <v>-2332</v>
      </c>
      <c r="AO99" s="30">
        <v>3960</v>
      </c>
      <c r="AP99" s="30">
        <v>6477</v>
      </c>
      <c r="AQ99" s="30">
        <v>0</v>
      </c>
      <c r="AR99" s="30">
        <v>0</v>
      </c>
      <c r="AS99" s="30">
        <v>3236</v>
      </c>
      <c r="AT99" s="30"/>
      <c r="AU99" s="42">
        <f t="shared" si="14"/>
        <v>666426.8599999998</v>
      </c>
      <c r="AV99" s="29"/>
      <c r="AW99" s="29"/>
      <c r="AX99" s="29"/>
      <c r="AY99" s="29"/>
      <c r="AZ99" s="30"/>
    </row>
    <row r="100" spans="1:52" s="93" customFormat="1" ht="12.75">
      <c r="A100" s="260" t="s">
        <v>346</v>
      </c>
      <c r="B100" s="29">
        <f aca="true" t="shared" si="19" ref="B100:AA100">SUM(B97:B99)</f>
        <v>67</v>
      </c>
      <c r="C100" s="29">
        <f t="shared" si="19"/>
        <v>0</v>
      </c>
      <c r="D100" s="29">
        <f t="shared" si="19"/>
        <v>0</v>
      </c>
      <c r="E100" s="29">
        <f t="shared" si="19"/>
        <v>1068965.05</v>
      </c>
      <c r="F100" s="29">
        <f t="shared" si="19"/>
        <v>0</v>
      </c>
      <c r="G100" s="29">
        <f t="shared" si="19"/>
        <v>0</v>
      </c>
      <c r="H100" s="29">
        <f t="shared" si="19"/>
        <v>0</v>
      </c>
      <c r="I100" s="29">
        <f t="shared" si="19"/>
        <v>0</v>
      </c>
      <c r="J100" s="29">
        <f t="shared" si="19"/>
        <v>0</v>
      </c>
      <c r="K100" s="29">
        <f t="shared" si="19"/>
        <v>122564</v>
      </c>
      <c r="L100" s="29">
        <f t="shared" si="19"/>
        <v>430479</v>
      </c>
      <c r="M100" s="29">
        <f t="shared" si="19"/>
        <v>3369</v>
      </c>
      <c r="N100" s="29">
        <f t="shared" si="19"/>
        <v>8330</v>
      </c>
      <c r="O100" s="29">
        <f t="shared" si="19"/>
        <v>3426</v>
      </c>
      <c r="P100" s="29">
        <f t="shared" si="19"/>
        <v>2984</v>
      </c>
      <c r="Q100" s="29">
        <f t="shared" si="19"/>
        <v>0</v>
      </c>
      <c r="R100" s="29">
        <f t="shared" si="19"/>
        <v>0</v>
      </c>
      <c r="S100" s="29">
        <f t="shared" si="19"/>
        <v>1569</v>
      </c>
      <c r="T100" s="29">
        <f t="shared" si="19"/>
        <v>3050</v>
      </c>
      <c r="U100" s="29">
        <f t="shared" si="19"/>
        <v>0</v>
      </c>
      <c r="V100" s="29">
        <f t="shared" si="19"/>
        <v>1034.767</v>
      </c>
      <c r="W100" s="29">
        <f t="shared" si="19"/>
        <v>4805</v>
      </c>
      <c r="X100" s="29">
        <f t="shared" si="19"/>
        <v>685.448</v>
      </c>
      <c r="Y100" s="29">
        <f t="shared" si="19"/>
        <v>2878.372</v>
      </c>
      <c r="Z100" s="29">
        <f t="shared" si="19"/>
        <v>297.649</v>
      </c>
      <c r="AA100" s="29">
        <f t="shared" si="19"/>
        <v>0</v>
      </c>
      <c r="AB100" s="29">
        <f aca="true" t="shared" si="20" ref="AB100:AS100">SUM(AB97:AB99)</f>
        <v>31082.945</v>
      </c>
      <c r="AC100" s="29">
        <f t="shared" si="20"/>
        <v>133.7</v>
      </c>
      <c r="AD100" s="29">
        <f t="shared" si="20"/>
        <v>348.1</v>
      </c>
      <c r="AE100" s="29">
        <f t="shared" si="20"/>
        <v>2046</v>
      </c>
      <c r="AF100" s="29">
        <f t="shared" si="20"/>
        <v>83</v>
      </c>
      <c r="AG100" s="29">
        <f t="shared" si="20"/>
        <v>2436.5</v>
      </c>
      <c r="AH100" s="29">
        <f t="shared" si="20"/>
        <v>63096.017</v>
      </c>
      <c r="AI100" s="29">
        <f t="shared" si="20"/>
        <v>-442.369</v>
      </c>
      <c r="AJ100" s="29">
        <f t="shared" si="20"/>
        <v>9614.530999999999</v>
      </c>
      <c r="AK100" s="29">
        <f t="shared" si="20"/>
        <v>0</v>
      </c>
      <c r="AL100" s="29">
        <f t="shared" si="20"/>
        <v>0</v>
      </c>
      <c r="AM100" s="29">
        <f t="shared" si="20"/>
        <v>0</v>
      </c>
      <c r="AN100" s="29">
        <f t="shared" si="20"/>
        <v>-2332</v>
      </c>
      <c r="AO100" s="29">
        <f t="shared" si="20"/>
        <v>3960</v>
      </c>
      <c r="AP100" s="29">
        <f t="shared" si="20"/>
        <v>6477</v>
      </c>
      <c r="AQ100" s="29">
        <f t="shared" si="20"/>
        <v>0</v>
      </c>
      <c r="AR100" s="29">
        <f t="shared" si="20"/>
        <v>0</v>
      </c>
      <c r="AS100" s="29">
        <f t="shared" si="20"/>
        <v>3236</v>
      </c>
      <c r="AT100" s="29"/>
      <c r="AU100" s="42">
        <f t="shared" si="14"/>
        <v>1774243.7100000002</v>
      </c>
      <c r="AV100" s="29"/>
      <c r="AW100" s="29"/>
      <c r="AX100" s="29"/>
      <c r="AY100" s="29"/>
      <c r="AZ100" s="30"/>
    </row>
    <row r="101" spans="1:52" s="93" customFormat="1" ht="13.5" hidden="1">
      <c r="A101" s="250"/>
      <c r="U101" s="33"/>
      <c r="X101" s="30"/>
      <c r="Y101" s="30"/>
      <c r="Z101" s="30"/>
      <c r="AA101" s="30"/>
      <c r="AU101" s="42"/>
      <c r="AV101" s="29"/>
      <c r="AW101" s="29"/>
      <c r="AX101" s="29"/>
      <c r="AY101" s="29"/>
      <c r="AZ101" s="30"/>
    </row>
    <row r="102" spans="1:52" s="93" customFormat="1" ht="12.75" hidden="1">
      <c r="A102" s="246" t="s">
        <v>351</v>
      </c>
      <c r="U102" s="33"/>
      <c r="X102" s="30"/>
      <c r="Y102" s="30"/>
      <c r="Z102" s="30"/>
      <c r="AA102" s="30"/>
      <c r="AU102" s="42"/>
      <c r="AV102" s="29"/>
      <c r="AW102" s="29"/>
      <c r="AX102" s="29"/>
      <c r="AY102" s="29"/>
      <c r="AZ102" s="30"/>
    </row>
    <row r="103" spans="1:52" s="93" customFormat="1" ht="12.75" hidden="1">
      <c r="A103" s="247" t="s">
        <v>348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155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/>
      <c r="AU103" s="42">
        <f t="shared" si="14"/>
        <v>155</v>
      </c>
      <c r="AV103" s="29"/>
      <c r="AW103" s="29"/>
      <c r="AX103" s="29"/>
      <c r="AY103" s="29"/>
      <c r="AZ103" s="30"/>
    </row>
    <row r="104" spans="1:52" s="93" customFormat="1" ht="12.75" hidden="1">
      <c r="A104" s="247" t="s">
        <v>349</v>
      </c>
      <c r="B104" s="30">
        <v>42302</v>
      </c>
      <c r="C104" s="30">
        <v>4257</v>
      </c>
      <c r="D104" s="30">
        <v>0</v>
      </c>
      <c r="E104" s="30">
        <v>0</v>
      </c>
      <c r="F104" s="30">
        <v>1603.518</v>
      </c>
      <c r="G104" s="30">
        <v>472.157</v>
      </c>
      <c r="H104" s="30">
        <f>(628025+4280903)/1000</f>
        <v>4908.928</v>
      </c>
      <c r="I104" s="30">
        <f>(33851+494901)/1000</f>
        <v>528.752</v>
      </c>
      <c r="J104" s="30">
        <f>(754826)/1000</f>
        <v>754.826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165335</v>
      </c>
      <c r="Q104" s="30">
        <v>36878</v>
      </c>
      <c r="R104" s="30">
        <v>64000</v>
      </c>
      <c r="S104" s="30">
        <v>0</v>
      </c>
      <c r="T104" s="30">
        <v>0</v>
      </c>
      <c r="U104" s="30">
        <v>0</v>
      </c>
      <c r="V104" s="30">
        <v>12.386</v>
      </c>
      <c r="W104" s="30">
        <v>3</v>
      </c>
      <c r="X104" s="30">
        <v>32648.489</v>
      </c>
      <c r="Y104" s="30">
        <v>72002.512</v>
      </c>
      <c r="Z104" s="30">
        <v>3937.958</v>
      </c>
      <c r="AA104" s="30">
        <v>1533.991</v>
      </c>
      <c r="AB104" s="30">
        <v>0</v>
      </c>
      <c r="AC104" s="30">
        <v>0</v>
      </c>
      <c r="AD104" s="30">
        <v>0</v>
      </c>
      <c r="AE104" s="30">
        <v>2957</v>
      </c>
      <c r="AF104" s="30">
        <v>1</v>
      </c>
      <c r="AG104" s="30">
        <v>57677.9</v>
      </c>
      <c r="AH104" s="30">
        <v>12683.044</v>
      </c>
      <c r="AI104" s="30">
        <v>662.479</v>
      </c>
      <c r="AJ104" s="30">
        <v>546.506</v>
      </c>
      <c r="AK104" s="30">
        <v>4916</v>
      </c>
      <c r="AL104" s="30">
        <v>503</v>
      </c>
      <c r="AM104" s="30">
        <v>11940</v>
      </c>
      <c r="AN104" s="30">
        <v>14553</v>
      </c>
      <c r="AO104" s="30">
        <v>75451</v>
      </c>
      <c r="AP104" s="30">
        <v>102551</v>
      </c>
      <c r="AQ104" s="30">
        <v>90.5</v>
      </c>
      <c r="AR104" s="30">
        <v>0</v>
      </c>
      <c r="AS104" s="30">
        <v>4524</v>
      </c>
      <c r="AT104" s="30"/>
      <c r="AU104" s="42">
        <f t="shared" si="14"/>
        <v>720234.946</v>
      </c>
      <c r="AV104" s="29"/>
      <c r="AW104" s="29"/>
      <c r="AX104" s="29"/>
      <c r="AY104" s="29"/>
      <c r="AZ104" s="30"/>
    </row>
    <row r="105" spans="1:52" s="93" customFormat="1" ht="12.75" hidden="1">
      <c r="A105" s="247" t="s">
        <v>350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/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47</v>
      </c>
      <c r="AG105" s="30">
        <v>0</v>
      </c>
      <c r="AH105" s="30"/>
      <c r="AI105" s="30"/>
      <c r="AJ105" s="30"/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/>
      <c r="AU105" s="42">
        <f t="shared" si="14"/>
        <v>47</v>
      </c>
      <c r="AV105" s="29"/>
      <c r="AW105" s="29"/>
      <c r="AX105" s="29"/>
      <c r="AY105" s="29"/>
      <c r="AZ105" s="30"/>
    </row>
    <row r="106" spans="1:52" s="93" customFormat="1" ht="12.75">
      <c r="A106" s="260" t="s">
        <v>351</v>
      </c>
      <c r="B106" s="29">
        <f aca="true" t="shared" si="21" ref="B106:AA106">SUM(B103:B105)</f>
        <v>42302</v>
      </c>
      <c r="C106" s="29">
        <f t="shared" si="21"/>
        <v>4257</v>
      </c>
      <c r="D106" s="29">
        <f t="shared" si="21"/>
        <v>0</v>
      </c>
      <c r="E106" s="29">
        <f t="shared" si="21"/>
        <v>0</v>
      </c>
      <c r="F106" s="29">
        <f t="shared" si="21"/>
        <v>1603.518</v>
      </c>
      <c r="G106" s="29">
        <f t="shared" si="21"/>
        <v>472.157</v>
      </c>
      <c r="H106" s="29">
        <f t="shared" si="21"/>
        <v>4908.928</v>
      </c>
      <c r="I106" s="29">
        <f t="shared" si="21"/>
        <v>528.752</v>
      </c>
      <c r="J106" s="29">
        <f t="shared" si="21"/>
        <v>754.826</v>
      </c>
      <c r="K106" s="29">
        <f t="shared" si="21"/>
        <v>0</v>
      </c>
      <c r="L106" s="29">
        <f t="shared" si="21"/>
        <v>0</v>
      </c>
      <c r="M106" s="29">
        <f t="shared" si="21"/>
        <v>0</v>
      </c>
      <c r="N106" s="29">
        <f t="shared" si="21"/>
        <v>0</v>
      </c>
      <c r="O106" s="29">
        <f t="shared" si="21"/>
        <v>155</v>
      </c>
      <c r="P106" s="29">
        <f t="shared" si="21"/>
        <v>165335</v>
      </c>
      <c r="Q106" s="29">
        <f t="shared" si="21"/>
        <v>36878</v>
      </c>
      <c r="R106" s="29">
        <f t="shared" si="21"/>
        <v>64000</v>
      </c>
      <c r="S106" s="29">
        <f>SUM(S103:S105)</f>
        <v>0</v>
      </c>
      <c r="T106" s="29">
        <f>SUM(T103:T105)</f>
        <v>0</v>
      </c>
      <c r="U106" s="29">
        <f t="shared" si="21"/>
        <v>0</v>
      </c>
      <c r="V106" s="29">
        <f t="shared" si="21"/>
        <v>12.386</v>
      </c>
      <c r="W106" s="29">
        <f t="shared" si="21"/>
        <v>3</v>
      </c>
      <c r="X106" s="29">
        <f t="shared" si="21"/>
        <v>32648.489</v>
      </c>
      <c r="Y106" s="29">
        <f t="shared" si="21"/>
        <v>72002.512</v>
      </c>
      <c r="Z106" s="29">
        <f t="shared" si="21"/>
        <v>3937.958</v>
      </c>
      <c r="AA106" s="29">
        <f t="shared" si="21"/>
        <v>1533.991</v>
      </c>
      <c r="AB106" s="30">
        <v>0</v>
      </c>
      <c r="AC106" s="30">
        <v>0</v>
      </c>
      <c r="AD106" s="30">
        <v>0</v>
      </c>
      <c r="AE106" s="29">
        <f aca="true" t="shared" si="22" ref="AE106:AS106">SUM(AE103:AE105)</f>
        <v>2957</v>
      </c>
      <c r="AF106" s="29">
        <f t="shared" si="22"/>
        <v>48</v>
      </c>
      <c r="AG106" s="29">
        <f t="shared" si="22"/>
        <v>57677.9</v>
      </c>
      <c r="AH106" s="29">
        <f t="shared" si="22"/>
        <v>12683.044</v>
      </c>
      <c r="AI106" s="29">
        <f t="shared" si="22"/>
        <v>662.479</v>
      </c>
      <c r="AJ106" s="29">
        <f t="shared" si="22"/>
        <v>546.506</v>
      </c>
      <c r="AK106" s="29">
        <f t="shared" si="22"/>
        <v>4916</v>
      </c>
      <c r="AL106" s="29">
        <f t="shared" si="22"/>
        <v>503</v>
      </c>
      <c r="AM106" s="29">
        <f t="shared" si="22"/>
        <v>11940</v>
      </c>
      <c r="AN106" s="29">
        <f t="shared" si="22"/>
        <v>14553</v>
      </c>
      <c r="AO106" s="29">
        <f t="shared" si="22"/>
        <v>75451</v>
      </c>
      <c r="AP106" s="29">
        <f t="shared" si="22"/>
        <v>102551</v>
      </c>
      <c r="AQ106" s="29">
        <f t="shared" si="22"/>
        <v>90.5</v>
      </c>
      <c r="AR106" s="29">
        <f t="shared" si="22"/>
        <v>0</v>
      </c>
      <c r="AS106" s="29">
        <f t="shared" si="22"/>
        <v>4524</v>
      </c>
      <c r="AT106" s="29"/>
      <c r="AU106" s="42">
        <f t="shared" si="14"/>
        <v>720436.946</v>
      </c>
      <c r="AV106" s="29"/>
      <c r="AW106" s="29"/>
      <c r="AX106" s="29"/>
      <c r="AY106" s="29"/>
      <c r="AZ106" s="30"/>
    </row>
    <row r="107" spans="1:52" s="93" customFormat="1" ht="12.75" hidden="1">
      <c r="A107" s="251"/>
      <c r="U107" s="33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U107" s="42"/>
      <c r="AV107" s="29"/>
      <c r="AW107" s="29"/>
      <c r="AX107" s="29"/>
      <c r="AY107" s="29"/>
      <c r="AZ107" s="30"/>
    </row>
    <row r="108" spans="1:52" s="93" customFormat="1" ht="12.75">
      <c r="A108" s="261" t="s">
        <v>352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29"/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  <c r="AT108" s="30"/>
      <c r="AU108" s="42">
        <f aca="true" t="shared" si="23" ref="AU108:AU126">SUM(B108:AS108)</f>
        <v>0</v>
      </c>
      <c r="AV108" s="29"/>
      <c r="AW108" s="29"/>
      <c r="AX108" s="29"/>
      <c r="AY108" s="29"/>
      <c r="AZ108" s="30"/>
    </row>
    <row r="109" spans="1:52" s="93" customFormat="1" ht="12.75">
      <c r="A109" s="251"/>
      <c r="U109" s="33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U109" s="42"/>
      <c r="AV109" s="29"/>
      <c r="AW109" s="29"/>
      <c r="AX109" s="29"/>
      <c r="AY109" s="29"/>
      <c r="AZ109" s="30"/>
    </row>
    <row r="110" spans="1:52" s="159" customFormat="1" ht="13.5">
      <c r="A110" s="256" t="s">
        <v>443</v>
      </c>
      <c r="B110" s="36">
        <f aca="true" t="shared" si="24" ref="B110:AA110">+B94+B100+B106+B108</f>
        <v>1188745.893</v>
      </c>
      <c r="C110" s="36">
        <f t="shared" si="24"/>
        <v>194785.675</v>
      </c>
      <c r="D110" s="36">
        <f t="shared" si="24"/>
        <v>79354.4</v>
      </c>
      <c r="E110" s="36">
        <f t="shared" si="24"/>
        <v>1068965.05</v>
      </c>
      <c r="F110" s="36">
        <f t="shared" si="24"/>
        <v>124194.108</v>
      </c>
      <c r="G110" s="36">
        <f t="shared" si="24"/>
        <v>129123.614</v>
      </c>
      <c r="H110" s="36">
        <f t="shared" si="24"/>
        <v>58758.164000000004</v>
      </c>
      <c r="I110" s="36">
        <f t="shared" si="24"/>
        <v>3927.65</v>
      </c>
      <c r="J110" s="36">
        <f t="shared" si="24"/>
        <v>5919.393</v>
      </c>
      <c r="K110" s="36">
        <f t="shared" si="24"/>
        <v>122564</v>
      </c>
      <c r="L110" s="36">
        <f t="shared" si="24"/>
        <v>430479</v>
      </c>
      <c r="M110" s="36">
        <f t="shared" si="24"/>
        <v>124530</v>
      </c>
      <c r="N110" s="36">
        <f t="shared" si="24"/>
        <v>292486</v>
      </c>
      <c r="O110" s="36">
        <f t="shared" si="24"/>
        <v>72838</v>
      </c>
      <c r="P110" s="36">
        <f t="shared" si="24"/>
        <v>15648547</v>
      </c>
      <c r="Q110" s="36">
        <f t="shared" si="24"/>
        <v>568502</v>
      </c>
      <c r="R110" s="36">
        <f t="shared" si="24"/>
        <v>1602549</v>
      </c>
      <c r="S110" s="36">
        <f t="shared" si="24"/>
        <v>125959</v>
      </c>
      <c r="T110" s="36">
        <f t="shared" si="24"/>
        <v>84673</v>
      </c>
      <c r="U110" s="36">
        <f t="shared" si="24"/>
        <v>811726</v>
      </c>
      <c r="V110" s="36">
        <f t="shared" si="24"/>
        <v>8117.111</v>
      </c>
      <c r="W110" s="36">
        <f t="shared" si="24"/>
        <v>49734</v>
      </c>
      <c r="X110" s="36">
        <f t="shared" si="24"/>
        <v>2646366.7490000003</v>
      </c>
      <c r="Y110" s="36">
        <f t="shared" si="24"/>
        <v>7563560.379000001</v>
      </c>
      <c r="Z110" s="36">
        <f t="shared" si="24"/>
        <v>605371.222</v>
      </c>
      <c r="AA110" s="36">
        <f t="shared" si="24"/>
        <v>150250.266</v>
      </c>
      <c r="AB110" s="36">
        <f aca="true" t="shared" si="25" ref="AB110:AS110">+AB94+AB100+AB106+AB108</f>
        <v>358185.995</v>
      </c>
      <c r="AC110" s="36">
        <f t="shared" si="25"/>
        <v>7210.1</v>
      </c>
      <c r="AD110" s="36">
        <f t="shared" si="25"/>
        <v>18912.699999999997</v>
      </c>
      <c r="AE110" s="36">
        <f t="shared" si="25"/>
        <v>15738</v>
      </c>
      <c r="AF110" s="36">
        <f t="shared" si="25"/>
        <v>4792</v>
      </c>
      <c r="AG110" s="36">
        <f t="shared" si="25"/>
        <v>5329588.2</v>
      </c>
      <c r="AH110" s="36">
        <f t="shared" si="25"/>
        <v>2155492.0280000004</v>
      </c>
      <c r="AI110" s="36">
        <f t="shared" si="25"/>
        <v>2639729.096</v>
      </c>
      <c r="AJ110" s="36">
        <f t="shared" si="25"/>
        <v>726798.0560000001</v>
      </c>
      <c r="AK110" s="36">
        <f t="shared" si="25"/>
        <v>164560</v>
      </c>
      <c r="AL110" s="36">
        <f t="shared" si="25"/>
        <v>20767</v>
      </c>
      <c r="AM110" s="36">
        <f t="shared" si="25"/>
        <v>11940</v>
      </c>
      <c r="AN110" s="36">
        <f t="shared" si="25"/>
        <v>430825</v>
      </c>
      <c r="AO110" s="36">
        <f t="shared" si="25"/>
        <v>1840549</v>
      </c>
      <c r="AP110" s="36">
        <f t="shared" si="25"/>
        <v>1120023</v>
      </c>
      <c r="AQ110" s="36">
        <f t="shared" si="25"/>
        <v>60880</v>
      </c>
      <c r="AR110" s="36">
        <f t="shared" si="25"/>
        <v>2421.8</v>
      </c>
      <c r="AS110" s="36">
        <f t="shared" si="25"/>
        <v>1240652</v>
      </c>
      <c r="AT110" s="36"/>
      <c r="AU110" s="105">
        <f t="shared" si="23"/>
        <v>49911090.64900001</v>
      </c>
      <c r="AV110" s="36"/>
      <c r="AW110" s="36"/>
      <c r="AX110" s="36"/>
      <c r="AY110" s="36"/>
      <c r="AZ110" s="148"/>
    </row>
    <row r="111" spans="1:52" s="93" customFormat="1" ht="12.75">
      <c r="A111" s="42"/>
      <c r="U111" s="33"/>
      <c r="X111" s="30"/>
      <c r="Y111" s="30"/>
      <c r="Z111" s="30"/>
      <c r="AA111" s="30"/>
      <c r="AU111" s="42"/>
      <c r="AV111" s="29"/>
      <c r="AW111" s="29"/>
      <c r="AX111" s="29"/>
      <c r="AY111" s="29"/>
      <c r="AZ111" s="30"/>
    </row>
    <row r="112" spans="1:52" s="93" customFormat="1" ht="13.5">
      <c r="A112" s="263" t="s">
        <v>442</v>
      </c>
      <c r="U112" s="33"/>
      <c r="X112" s="30"/>
      <c r="Y112" s="30"/>
      <c r="Z112" s="30"/>
      <c r="AA112" s="30"/>
      <c r="AU112" s="42"/>
      <c r="AV112" s="29"/>
      <c r="AW112" s="29"/>
      <c r="AX112" s="29"/>
      <c r="AY112" s="29"/>
      <c r="AZ112" s="30"/>
    </row>
    <row r="113" spans="1:52" s="93" customFormat="1" ht="12.75">
      <c r="A113" s="246" t="s">
        <v>441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29"/>
      <c r="AU113" s="42">
        <f t="shared" si="23"/>
        <v>0</v>
      </c>
      <c r="AV113" s="29"/>
      <c r="AW113" s="29"/>
      <c r="AX113" s="29"/>
      <c r="AY113" s="29"/>
      <c r="AZ113" s="30"/>
    </row>
    <row r="114" spans="1:52" s="93" customFormat="1" ht="12.75" hidden="1">
      <c r="A114" s="251"/>
      <c r="U114" s="33"/>
      <c r="X114" s="30"/>
      <c r="Y114" s="30"/>
      <c r="Z114" s="30"/>
      <c r="AA114" s="30"/>
      <c r="AU114" s="42"/>
      <c r="AV114" s="29"/>
      <c r="AW114" s="29"/>
      <c r="AX114" s="29"/>
      <c r="AY114" s="29"/>
      <c r="AZ114" s="30"/>
    </row>
    <row r="115" spans="1:52" s="93" customFormat="1" ht="12.75" hidden="1">
      <c r="A115" s="260" t="s">
        <v>361</v>
      </c>
      <c r="U115" s="33"/>
      <c r="X115" s="30"/>
      <c r="Y115" s="30"/>
      <c r="Z115" s="30"/>
      <c r="AA115" s="30"/>
      <c r="AU115" s="42"/>
      <c r="AV115" s="29"/>
      <c r="AW115" s="29"/>
      <c r="AX115" s="29"/>
      <c r="AY115" s="29"/>
      <c r="AZ115" s="30"/>
    </row>
    <row r="116" spans="1:52" s="93" customFormat="1" ht="12.75" hidden="1">
      <c r="A116" s="252" t="s">
        <v>357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/>
      <c r="AU116" s="42">
        <f t="shared" si="23"/>
        <v>0</v>
      </c>
      <c r="AV116" s="29"/>
      <c r="AW116" s="29"/>
      <c r="AX116" s="29"/>
      <c r="AY116" s="29"/>
      <c r="AZ116" s="30"/>
    </row>
    <row r="117" spans="1:52" s="93" customFormat="1" ht="12.75" hidden="1">
      <c r="A117" s="247" t="s">
        <v>358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/>
      <c r="AU117" s="42">
        <f t="shared" si="23"/>
        <v>0</v>
      </c>
      <c r="AV117" s="29"/>
      <c r="AW117" s="29"/>
      <c r="AX117" s="29"/>
      <c r="AY117" s="29"/>
      <c r="AZ117" s="30"/>
    </row>
    <row r="118" spans="1:52" s="93" customFormat="1" ht="12.75" hidden="1">
      <c r="A118" s="247" t="s">
        <v>359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/>
      <c r="AU118" s="42">
        <f t="shared" si="23"/>
        <v>0</v>
      </c>
      <c r="AV118" s="29"/>
      <c r="AW118" s="29"/>
      <c r="AX118" s="29"/>
      <c r="AY118" s="29"/>
      <c r="AZ118" s="30"/>
    </row>
    <row r="119" spans="1:52" s="93" customFormat="1" ht="12.75" hidden="1">
      <c r="A119" s="247" t="s">
        <v>360</v>
      </c>
      <c r="B119" s="30">
        <v>0</v>
      </c>
      <c r="C119" s="30">
        <v>74</v>
      </c>
      <c r="D119" s="30">
        <v>78.5</v>
      </c>
      <c r="E119" s="30">
        <v>0</v>
      </c>
      <c r="F119" s="30">
        <v>-3596</v>
      </c>
      <c r="G119" s="30">
        <v>-9609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-7383</v>
      </c>
      <c r="N119" s="30">
        <v>-16891</v>
      </c>
      <c r="O119" s="30">
        <v>75</v>
      </c>
      <c r="P119" s="30">
        <v>15059</v>
      </c>
      <c r="Q119" s="30">
        <v>282</v>
      </c>
      <c r="R119" s="30">
        <v>275</v>
      </c>
      <c r="S119" s="30">
        <v>0</v>
      </c>
      <c r="T119" s="30">
        <v>0</v>
      </c>
      <c r="U119" s="30">
        <v>0</v>
      </c>
      <c r="V119" s="30">
        <v>1034.767</v>
      </c>
      <c r="W119" s="30">
        <v>0</v>
      </c>
      <c r="X119" s="30">
        <v>5961.831</v>
      </c>
      <c r="Y119" s="30">
        <v>6884.93</v>
      </c>
      <c r="Z119" s="30">
        <v>301.484</v>
      </c>
      <c r="AA119" s="30">
        <v>28.788</v>
      </c>
      <c r="AB119" s="30">
        <v>0</v>
      </c>
      <c r="AC119" s="30">
        <v>0</v>
      </c>
      <c r="AD119" s="30">
        <v>0</v>
      </c>
      <c r="AE119" s="30">
        <v>92</v>
      </c>
      <c r="AF119" s="30">
        <v>0</v>
      </c>
      <c r="AG119" s="30">
        <v>653.9</v>
      </c>
      <c r="AH119" s="30">
        <v>12779.334</v>
      </c>
      <c r="AI119" s="30">
        <v>17830.119</v>
      </c>
      <c r="AJ119" s="30">
        <v>7113</v>
      </c>
      <c r="AK119" s="30">
        <v>0</v>
      </c>
      <c r="AL119" s="30">
        <v>0</v>
      </c>
      <c r="AM119" s="30">
        <v>0</v>
      </c>
      <c r="AN119" s="30">
        <v>535</v>
      </c>
      <c r="AO119" s="30">
        <v>1822</v>
      </c>
      <c r="AP119" s="30">
        <v>1088</v>
      </c>
      <c r="AQ119" s="30">
        <v>0</v>
      </c>
      <c r="AR119" s="30">
        <v>0</v>
      </c>
      <c r="AS119" s="30">
        <v>4169</v>
      </c>
      <c r="AT119" s="30"/>
      <c r="AU119" s="42">
        <f t="shared" si="23"/>
        <v>38658.653</v>
      </c>
      <c r="AV119" s="29"/>
      <c r="AW119" s="29"/>
      <c r="AX119" s="29"/>
      <c r="AY119" s="29"/>
      <c r="AZ119" s="30"/>
    </row>
    <row r="120" spans="1:52" s="93" customFormat="1" ht="12.75">
      <c r="A120" s="260" t="s">
        <v>361</v>
      </c>
      <c r="B120" s="29">
        <f aca="true" t="shared" si="26" ref="B120:AA120">SUM(B116:B119)</f>
        <v>0</v>
      </c>
      <c r="C120" s="29">
        <f t="shared" si="26"/>
        <v>74</v>
      </c>
      <c r="D120" s="29">
        <f t="shared" si="26"/>
        <v>78.5</v>
      </c>
      <c r="E120" s="29">
        <f t="shared" si="26"/>
        <v>0</v>
      </c>
      <c r="F120" s="29">
        <f t="shared" si="26"/>
        <v>-3596</v>
      </c>
      <c r="G120" s="29">
        <f t="shared" si="26"/>
        <v>-9609</v>
      </c>
      <c r="H120" s="29">
        <f t="shared" si="26"/>
        <v>0</v>
      </c>
      <c r="I120" s="29">
        <f t="shared" si="26"/>
        <v>0</v>
      </c>
      <c r="J120" s="29">
        <f t="shared" si="26"/>
        <v>0</v>
      </c>
      <c r="K120" s="29">
        <f t="shared" si="26"/>
        <v>0</v>
      </c>
      <c r="L120" s="29">
        <f t="shared" si="26"/>
        <v>0</v>
      </c>
      <c r="M120" s="29">
        <f t="shared" si="26"/>
        <v>-7383</v>
      </c>
      <c r="N120" s="29">
        <f t="shared" si="26"/>
        <v>-16891</v>
      </c>
      <c r="O120" s="29">
        <f t="shared" si="26"/>
        <v>75</v>
      </c>
      <c r="P120" s="29">
        <f t="shared" si="26"/>
        <v>15059</v>
      </c>
      <c r="Q120" s="29">
        <f t="shared" si="26"/>
        <v>282</v>
      </c>
      <c r="R120" s="29">
        <f t="shared" si="26"/>
        <v>275</v>
      </c>
      <c r="S120" s="29">
        <f t="shared" si="26"/>
        <v>0</v>
      </c>
      <c r="T120" s="29">
        <f t="shared" si="26"/>
        <v>0</v>
      </c>
      <c r="U120" s="29">
        <f t="shared" si="26"/>
        <v>0</v>
      </c>
      <c r="V120" s="29">
        <f t="shared" si="26"/>
        <v>1034.767</v>
      </c>
      <c r="W120" s="29">
        <f t="shared" si="26"/>
        <v>0</v>
      </c>
      <c r="X120" s="29">
        <f t="shared" si="26"/>
        <v>5961.831</v>
      </c>
      <c r="Y120" s="29">
        <f t="shared" si="26"/>
        <v>6884.93</v>
      </c>
      <c r="Z120" s="29">
        <f t="shared" si="26"/>
        <v>301.484</v>
      </c>
      <c r="AA120" s="29">
        <f t="shared" si="26"/>
        <v>28.788</v>
      </c>
      <c r="AB120" s="29">
        <f aca="true" t="shared" si="27" ref="AB120:AS120">SUM(AB116:AB119)</f>
        <v>0</v>
      </c>
      <c r="AC120" s="29">
        <f t="shared" si="27"/>
        <v>0</v>
      </c>
      <c r="AD120" s="29">
        <f t="shared" si="27"/>
        <v>0</v>
      </c>
      <c r="AE120" s="29">
        <f t="shared" si="27"/>
        <v>92</v>
      </c>
      <c r="AF120" s="29">
        <f t="shared" si="27"/>
        <v>0</v>
      </c>
      <c r="AG120" s="29">
        <f t="shared" si="27"/>
        <v>653.9</v>
      </c>
      <c r="AH120" s="29">
        <f t="shared" si="27"/>
        <v>12779.334</v>
      </c>
      <c r="AI120" s="29">
        <f t="shared" si="27"/>
        <v>17830.119</v>
      </c>
      <c r="AJ120" s="29">
        <f t="shared" si="27"/>
        <v>7113</v>
      </c>
      <c r="AK120" s="29">
        <f t="shared" si="27"/>
        <v>0</v>
      </c>
      <c r="AL120" s="29">
        <f t="shared" si="27"/>
        <v>0</v>
      </c>
      <c r="AM120" s="29">
        <f t="shared" si="27"/>
        <v>0</v>
      </c>
      <c r="AN120" s="29">
        <f t="shared" si="27"/>
        <v>535</v>
      </c>
      <c r="AO120" s="29">
        <f t="shared" si="27"/>
        <v>1822</v>
      </c>
      <c r="AP120" s="29">
        <f t="shared" si="27"/>
        <v>1088</v>
      </c>
      <c r="AQ120" s="29">
        <f t="shared" si="27"/>
        <v>0</v>
      </c>
      <c r="AR120" s="29">
        <f t="shared" si="27"/>
        <v>0</v>
      </c>
      <c r="AS120" s="29">
        <f t="shared" si="27"/>
        <v>4169</v>
      </c>
      <c r="AT120" s="29"/>
      <c r="AU120" s="42">
        <f t="shared" si="23"/>
        <v>38658.653</v>
      </c>
      <c r="AV120" s="29"/>
      <c r="AW120" s="29"/>
      <c r="AX120" s="29"/>
      <c r="AY120" s="29"/>
      <c r="AZ120" s="30"/>
    </row>
    <row r="121" spans="1:52" s="93" customFormat="1" ht="12.75" hidden="1">
      <c r="A121" s="251"/>
      <c r="U121" s="33"/>
      <c r="X121" s="30"/>
      <c r="Y121" s="30"/>
      <c r="Z121" s="30"/>
      <c r="AA121" s="30"/>
      <c r="AU121" s="42"/>
      <c r="AV121" s="29"/>
      <c r="AW121" s="29"/>
      <c r="AX121" s="29"/>
      <c r="AY121" s="29"/>
      <c r="AZ121" s="30"/>
    </row>
    <row r="122" spans="1:52" s="93" customFormat="1" ht="12.75">
      <c r="A122" s="260" t="s">
        <v>362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/>
      <c r="AU122" s="42">
        <f t="shared" si="23"/>
        <v>0</v>
      </c>
      <c r="AV122" s="29"/>
      <c r="AW122" s="29"/>
      <c r="AX122" s="29"/>
      <c r="AY122" s="29"/>
      <c r="AZ122" s="30"/>
    </row>
    <row r="123" spans="1:52" s="93" customFormat="1" ht="12.75" hidden="1">
      <c r="A123" s="251"/>
      <c r="U123" s="33"/>
      <c r="X123" s="30"/>
      <c r="Y123" s="30"/>
      <c r="Z123" s="30"/>
      <c r="AA123" s="30"/>
      <c r="AU123" s="42"/>
      <c r="AV123" s="29"/>
      <c r="AW123" s="29"/>
      <c r="AX123" s="29"/>
      <c r="AY123" s="29"/>
      <c r="AZ123" s="30"/>
    </row>
    <row r="124" spans="1:52" s="159" customFormat="1" ht="13.5">
      <c r="A124" s="256" t="s">
        <v>440</v>
      </c>
      <c r="B124" s="36">
        <f aca="true" t="shared" si="28" ref="B124:W124">+B120+B122</f>
        <v>0</v>
      </c>
      <c r="C124" s="36">
        <f t="shared" si="28"/>
        <v>74</v>
      </c>
      <c r="D124" s="36">
        <f t="shared" si="28"/>
        <v>78.5</v>
      </c>
      <c r="E124" s="36">
        <f t="shared" si="28"/>
        <v>0</v>
      </c>
      <c r="F124" s="36">
        <f t="shared" si="28"/>
        <v>-3596</v>
      </c>
      <c r="G124" s="36">
        <f t="shared" si="28"/>
        <v>-9609</v>
      </c>
      <c r="H124" s="36">
        <f t="shared" si="28"/>
        <v>0</v>
      </c>
      <c r="I124" s="36">
        <f t="shared" si="28"/>
        <v>0</v>
      </c>
      <c r="J124" s="36">
        <f t="shared" si="28"/>
        <v>0</v>
      </c>
      <c r="K124" s="36">
        <f t="shared" si="28"/>
        <v>0</v>
      </c>
      <c r="L124" s="36">
        <f t="shared" si="28"/>
        <v>0</v>
      </c>
      <c r="M124" s="36">
        <f t="shared" si="28"/>
        <v>-7383</v>
      </c>
      <c r="N124" s="36">
        <f t="shared" si="28"/>
        <v>-16891</v>
      </c>
      <c r="O124" s="36">
        <f t="shared" si="28"/>
        <v>75</v>
      </c>
      <c r="P124" s="36">
        <f t="shared" si="28"/>
        <v>15059</v>
      </c>
      <c r="Q124" s="36">
        <f t="shared" si="28"/>
        <v>282</v>
      </c>
      <c r="R124" s="36">
        <f t="shared" si="28"/>
        <v>275</v>
      </c>
      <c r="S124" s="36">
        <f t="shared" si="28"/>
        <v>0</v>
      </c>
      <c r="T124" s="36">
        <f t="shared" si="28"/>
        <v>0</v>
      </c>
      <c r="U124" s="36">
        <f t="shared" si="28"/>
        <v>0</v>
      </c>
      <c r="V124" s="36">
        <f t="shared" si="28"/>
        <v>1034.767</v>
      </c>
      <c r="W124" s="36">
        <f t="shared" si="28"/>
        <v>0</v>
      </c>
      <c r="X124" s="148">
        <v>5961.831</v>
      </c>
      <c r="Y124" s="148">
        <v>6884.93</v>
      </c>
      <c r="Z124" s="148">
        <v>301.484</v>
      </c>
      <c r="AA124" s="148">
        <v>28.788</v>
      </c>
      <c r="AB124" s="36">
        <f aca="true" t="shared" si="29" ref="AB124:AS124">+AB120+AB122</f>
        <v>0</v>
      </c>
      <c r="AC124" s="36">
        <f t="shared" si="29"/>
        <v>0</v>
      </c>
      <c r="AD124" s="36">
        <f t="shared" si="29"/>
        <v>0</v>
      </c>
      <c r="AE124" s="36">
        <f t="shared" si="29"/>
        <v>92</v>
      </c>
      <c r="AF124" s="36">
        <f t="shared" si="29"/>
        <v>0</v>
      </c>
      <c r="AG124" s="36">
        <f t="shared" si="29"/>
        <v>653.9</v>
      </c>
      <c r="AH124" s="36">
        <f t="shared" si="29"/>
        <v>12779.334</v>
      </c>
      <c r="AI124" s="36">
        <f t="shared" si="29"/>
        <v>17830.119</v>
      </c>
      <c r="AJ124" s="36">
        <f t="shared" si="29"/>
        <v>7113</v>
      </c>
      <c r="AK124" s="36">
        <f t="shared" si="29"/>
        <v>0</v>
      </c>
      <c r="AL124" s="36">
        <f t="shared" si="29"/>
        <v>0</v>
      </c>
      <c r="AM124" s="36">
        <f t="shared" si="29"/>
        <v>0</v>
      </c>
      <c r="AN124" s="36">
        <f t="shared" si="29"/>
        <v>535</v>
      </c>
      <c r="AO124" s="36">
        <f t="shared" si="29"/>
        <v>1822</v>
      </c>
      <c r="AP124" s="36">
        <f t="shared" si="29"/>
        <v>1088</v>
      </c>
      <c r="AQ124" s="36">
        <f t="shared" si="29"/>
        <v>0</v>
      </c>
      <c r="AR124" s="36">
        <f t="shared" si="29"/>
        <v>0</v>
      </c>
      <c r="AS124" s="36">
        <f t="shared" si="29"/>
        <v>4169</v>
      </c>
      <c r="AT124" s="36"/>
      <c r="AU124" s="105">
        <f t="shared" si="23"/>
        <v>38658.653</v>
      </c>
      <c r="AV124" s="36"/>
      <c r="AW124" s="36"/>
      <c r="AX124" s="36"/>
      <c r="AY124" s="36"/>
      <c r="AZ124" s="148"/>
    </row>
    <row r="125" spans="1:52" s="93" customFormat="1" ht="12.75">
      <c r="A125" s="246"/>
      <c r="X125" s="30">
        <v>0</v>
      </c>
      <c r="Y125" s="30">
        <v>0</v>
      </c>
      <c r="Z125" s="30">
        <v>0</v>
      </c>
      <c r="AA125" s="30">
        <v>0</v>
      </c>
      <c r="AU125" s="42"/>
      <c r="AV125" s="29"/>
      <c r="AW125" s="29"/>
      <c r="AX125" s="29"/>
      <c r="AY125" s="29"/>
      <c r="AZ125" s="30"/>
    </row>
    <row r="126" spans="1:52" s="159" customFormat="1" ht="13.5">
      <c r="A126" s="256" t="s">
        <v>439</v>
      </c>
      <c r="B126" s="36">
        <f aca="true" t="shared" si="30" ref="B126:AS126">+B110-B124</f>
        <v>1188745.893</v>
      </c>
      <c r="C126" s="36">
        <f t="shared" si="30"/>
        <v>194711.675</v>
      </c>
      <c r="D126" s="36">
        <f t="shared" si="30"/>
        <v>79275.9</v>
      </c>
      <c r="E126" s="36">
        <f t="shared" si="30"/>
        <v>1068965.05</v>
      </c>
      <c r="F126" s="36">
        <f t="shared" si="30"/>
        <v>127790.108</v>
      </c>
      <c r="G126" s="36">
        <f t="shared" si="30"/>
        <v>138732.614</v>
      </c>
      <c r="H126" s="36">
        <f t="shared" si="30"/>
        <v>58758.164000000004</v>
      </c>
      <c r="I126" s="36">
        <f t="shared" si="30"/>
        <v>3927.65</v>
      </c>
      <c r="J126" s="36">
        <f t="shared" si="30"/>
        <v>5919.393</v>
      </c>
      <c r="K126" s="36">
        <f t="shared" si="30"/>
        <v>122564</v>
      </c>
      <c r="L126" s="36">
        <f t="shared" si="30"/>
        <v>430479</v>
      </c>
      <c r="M126" s="36">
        <f t="shared" si="30"/>
        <v>131913</v>
      </c>
      <c r="N126" s="36">
        <f t="shared" si="30"/>
        <v>309377</v>
      </c>
      <c r="O126" s="36">
        <f t="shared" si="30"/>
        <v>72763</v>
      </c>
      <c r="P126" s="36">
        <f t="shared" si="30"/>
        <v>15633488</v>
      </c>
      <c r="Q126" s="36">
        <f t="shared" si="30"/>
        <v>568220</v>
      </c>
      <c r="R126" s="36">
        <f t="shared" si="30"/>
        <v>1602274</v>
      </c>
      <c r="S126" s="36">
        <f t="shared" si="30"/>
        <v>125959</v>
      </c>
      <c r="T126" s="36">
        <f t="shared" si="30"/>
        <v>84673</v>
      </c>
      <c r="U126" s="36">
        <f t="shared" si="30"/>
        <v>811726</v>
      </c>
      <c r="V126" s="36">
        <f t="shared" si="30"/>
        <v>7082.344</v>
      </c>
      <c r="W126" s="36">
        <f t="shared" si="30"/>
        <v>49734</v>
      </c>
      <c r="X126" s="36">
        <f t="shared" si="30"/>
        <v>2640404.9180000005</v>
      </c>
      <c r="Y126" s="36">
        <f t="shared" si="30"/>
        <v>7556675.449000001</v>
      </c>
      <c r="Z126" s="36">
        <f t="shared" si="30"/>
        <v>605069.7379999999</v>
      </c>
      <c r="AA126" s="36">
        <f t="shared" si="30"/>
        <v>150221.478</v>
      </c>
      <c r="AB126" s="36">
        <f t="shared" si="30"/>
        <v>358185.995</v>
      </c>
      <c r="AC126" s="36">
        <f t="shared" si="30"/>
        <v>7210.1</v>
      </c>
      <c r="AD126" s="36">
        <f t="shared" si="30"/>
        <v>18912.699999999997</v>
      </c>
      <c r="AE126" s="36">
        <f t="shared" si="30"/>
        <v>15646</v>
      </c>
      <c r="AF126" s="36">
        <f t="shared" si="30"/>
        <v>4792</v>
      </c>
      <c r="AG126" s="36">
        <f t="shared" si="30"/>
        <v>5328934.3</v>
      </c>
      <c r="AH126" s="36">
        <f t="shared" si="30"/>
        <v>2142712.6940000006</v>
      </c>
      <c r="AI126" s="36">
        <f t="shared" si="30"/>
        <v>2621898.977</v>
      </c>
      <c r="AJ126" s="36">
        <f t="shared" si="30"/>
        <v>719685.0560000001</v>
      </c>
      <c r="AK126" s="36">
        <f t="shared" si="30"/>
        <v>164560</v>
      </c>
      <c r="AL126" s="36">
        <f t="shared" si="30"/>
        <v>20767</v>
      </c>
      <c r="AM126" s="36">
        <f t="shared" si="30"/>
        <v>11940</v>
      </c>
      <c r="AN126" s="36">
        <f t="shared" si="30"/>
        <v>430290</v>
      </c>
      <c r="AO126" s="36">
        <f t="shared" si="30"/>
        <v>1838727</v>
      </c>
      <c r="AP126" s="36">
        <f t="shared" si="30"/>
        <v>1118935</v>
      </c>
      <c r="AQ126" s="36">
        <f t="shared" si="30"/>
        <v>60880</v>
      </c>
      <c r="AR126" s="36">
        <f t="shared" si="30"/>
        <v>2421.8</v>
      </c>
      <c r="AS126" s="36">
        <f t="shared" si="30"/>
        <v>1236483</v>
      </c>
      <c r="AT126" s="36"/>
      <c r="AU126" s="105">
        <f t="shared" si="23"/>
        <v>49872431.996</v>
      </c>
      <c r="AV126" s="36"/>
      <c r="AX126" s="36"/>
      <c r="AY126" s="36"/>
      <c r="AZ126" s="148"/>
    </row>
    <row r="127" spans="1:51" s="93" customFormat="1" ht="12.75">
      <c r="A127" s="42"/>
      <c r="X127" s="30"/>
      <c r="Y127" s="30"/>
      <c r="Z127" s="30"/>
      <c r="AA127" s="30"/>
      <c r="AV127" s="29"/>
      <c r="AX127" s="29"/>
      <c r="AY127" s="29"/>
    </row>
    <row r="128" spans="1:49" s="93" customFormat="1" ht="12.75">
      <c r="A128" s="42"/>
      <c r="B128" s="42"/>
      <c r="C128" s="42"/>
      <c r="D128" s="42"/>
      <c r="E128" s="42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29"/>
      <c r="AW128" s="42"/>
    </row>
    <row r="129" spans="1:27" s="93" customFormat="1" ht="15.75">
      <c r="A129" s="226" t="s">
        <v>438</v>
      </c>
      <c r="X129" s="30"/>
      <c r="Y129" s="30"/>
      <c r="Z129" s="30"/>
      <c r="AA129" s="30"/>
    </row>
    <row r="130" spans="1:52" ht="12.75" hidden="1">
      <c r="A130" s="246" t="s">
        <v>408</v>
      </c>
      <c r="B130" s="107"/>
      <c r="C130" s="107"/>
      <c r="D130" s="107"/>
      <c r="E130" s="29"/>
      <c r="F130" s="107"/>
      <c r="G130" s="107"/>
      <c r="H130" s="107"/>
      <c r="I130" s="107"/>
      <c r="J130" s="107"/>
      <c r="M130" s="107"/>
      <c r="N130" s="107"/>
      <c r="O130" s="107"/>
      <c r="S130" s="107"/>
      <c r="T130" s="107"/>
      <c r="U130" s="107"/>
      <c r="V130" s="107"/>
      <c r="AF130" s="107"/>
      <c r="AS130" s="107"/>
      <c r="AT130" s="29"/>
      <c r="AV130" s="29"/>
      <c r="AW130" s="29"/>
      <c r="AX130" s="29"/>
      <c r="AY130" s="29"/>
      <c r="AZ130" s="29"/>
    </row>
    <row r="131" spans="1:52" ht="12.75" hidden="1">
      <c r="A131" s="247" t="s">
        <v>409</v>
      </c>
      <c r="B131" s="30">
        <v>348946.964</v>
      </c>
      <c r="C131" s="30">
        <v>188264.748</v>
      </c>
      <c r="D131" s="30">
        <v>77494.212</v>
      </c>
      <c r="E131" s="30">
        <v>464595</v>
      </c>
      <c r="F131" s="30">
        <v>51650.647</v>
      </c>
      <c r="G131" s="30">
        <v>104321.859</v>
      </c>
      <c r="H131" s="30">
        <v>31474</v>
      </c>
      <c r="I131" s="30">
        <v>3801</v>
      </c>
      <c r="J131" s="30">
        <v>5797</v>
      </c>
      <c r="K131" s="30">
        <v>53824</v>
      </c>
      <c r="L131" s="30">
        <v>218015</v>
      </c>
      <c r="M131" s="30">
        <v>49317</v>
      </c>
      <c r="N131" s="30">
        <v>119453</v>
      </c>
      <c r="O131" s="30">
        <v>29261</v>
      </c>
      <c r="P131" s="30">
        <v>789859</v>
      </c>
      <c r="Q131" s="30">
        <v>416588</v>
      </c>
      <c r="R131" s="30">
        <v>1332621</v>
      </c>
      <c r="S131" s="30">
        <v>12741</v>
      </c>
      <c r="T131" s="30">
        <v>77651</v>
      </c>
      <c r="U131" s="132">
        <v>123436</v>
      </c>
      <c r="V131" s="30">
        <v>6978.042</v>
      </c>
      <c r="W131" s="30">
        <v>25303</v>
      </c>
      <c r="X131" s="29">
        <v>662874.343</v>
      </c>
      <c r="Y131" s="29">
        <v>1007133.748</v>
      </c>
      <c r="Z131" s="29">
        <v>13467.324</v>
      </c>
      <c r="AA131" s="29">
        <v>149960.317</v>
      </c>
      <c r="AB131" s="30">
        <v>135162.755</v>
      </c>
      <c r="AC131" s="30">
        <v>5102</v>
      </c>
      <c r="AD131" s="30">
        <v>10919.1</v>
      </c>
      <c r="AE131" s="30">
        <f>9807-22</f>
        <v>9785</v>
      </c>
      <c r="AF131" s="30"/>
      <c r="AG131" s="30">
        <v>302307</v>
      </c>
      <c r="AH131" s="30">
        <v>570413.898</v>
      </c>
      <c r="AI131" s="30">
        <v>325524.203</v>
      </c>
      <c r="AJ131" s="30">
        <v>31425.655</v>
      </c>
      <c r="AK131" s="30">
        <v>48420</v>
      </c>
      <c r="AL131" s="30">
        <f>19885</f>
        <v>19885</v>
      </c>
      <c r="AM131" s="30">
        <v>11592</v>
      </c>
      <c r="AN131" s="30">
        <v>156108</v>
      </c>
      <c r="AO131" s="30">
        <v>1092996</v>
      </c>
      <c r="AP131" s="30">
        <v>676726</v>
      </c>
      <c r="AQ131" s="30">
        <v>60581</v>
      </c>
      <c r="AR131" s="30">
        <v>2491.4</v>
      </c>
      <c r="AS131" s="30">
        <v>44026</v>
      </c>
      <c r="AT131" s="30"/>
      <c r="AU131" s="42">
        <f aca="true" t="shared" si="31" ref="AU131:AU167">SUM(B131:AS131)</f>
        <v>9868293.215</v>
      </c>
      <c r="AV131" s="29"/>
      <c r="AW131" s="29"/>
      <c r="AX131" s="29"/>
      <c r="AY131" s="29"/>
      <c r="AZ131" s="30"/>
    </row>
    <row r="132" spans="1:52" ht="12.75" hidden="1">
      <c r="A132" s="247" t="s">
        <v>410</v>
      </c>
      <c r="B132" s="30">
        <v>11614.074</v>
      </c>
      <c r="C132" s="30">
        <v>2357.654</v>
      </c>
      <c r="D132" s="30">
        <v>2278.077</v>
      </c>
      <c r="E132" s="30">
        <v>-5867</v>
      </c>
      <c r="F132" s="30">
        <v>1840.745</v>
      </c>
      <c r="G132" s="30">
        <v>429.826</v>
      </c>
      <c r="H132" s="30">
        <v>866</v>
      </c>
      <c r="I132" s="30">
        <v>67</v>
      </c>
      <c r="J132" s="30">
        <v>122</v>
      </c>
      <c r="K132" s="30">
        <v>-1672</v>
      </c>
      <c r="L132" s="30">
        <v>24904</v>
      </c>
      <c r="M132" s="30">
        <v>159</v>
      </c>
      <c r="N132" s="30">
        <v>287</v>
      </c>
      <c r="O132" s="30">
        <v>0</v>
      </c>
      <c r="P132" s="30">
        <v>124784</v>
      </c>
      <c r="Q132" s="30">
        <v>10820</v>
      </c>
      <c r="R132" s="30">
        <v>69891</v>
      </c>
      <c r="S132" s="30">
        <v>2174</v>
      </c>
      <c r="T132" s="30">
        <v>2310</v>
      </c>
      <c r="U132" s="132">
        <v>45432</v>
      </c>
      <c r="V132" s="30">
        <v>118.053</v>
      </c>
      <c r="W132" s="30">
        <v>17036</v>
      </c>
      <c r="X132" s="29">
        <v>39244.8</v>
      </c>
      <c r="Y132" s="29">
        <v>84236.706</v>
      </c>
      <c r="Z132" s="29">
        <v>8782.084</v>
      </c>
      <c r="AA132" s="29">
        <v>263.086</v>
      </c>
      <c r="AB132" s="30">
        <v>14538.29</v>
      </c>
      <c r="AC132" s="30">
        <v>118.9</v>
      </c>
      <c r="AD132" s="30">
        <v>286.5</v>
      </c>
      <c r="AE132" s="30">
        <v>0</v>
      </c>
      <c r="AF132" s="30"/>
      <c r="AG132" s="30">
        <v>126322</v>
      </c>
      <c r="AH132" s="30">
        <v>42633.104</v>
      </c>
      <c r="AI132" s="30">
        <v>38956.439</v>
      </c>
      <c r="AJ132" s="30">
        <v>8065.904</v>
      </c>
      <c r="AK132" s="30">
        <v>2223</v>
      </c>
      <c r="AL132" s="30">
        <v>352</v>
      </c>
      <c r="AM132" s="30">
        <v>348</v>
      </c>
      <c r="AN132" s="30">
        <v>11178</v>
      </c>
      <c r="AO132" s="30">
        <v>24535</v>
      </c>
      <c r="AP132" s="30">
        <v>11933</v>
      </c>
      <c r="AQ132" s="30">
        <v>299</v>
      </c>
      <c r="AR132" s="30">
        <v>0</v>
      </c>
      <c r="AS132" s="30">
        <v>28329</v>
      </c>
      <c r="AT132" s="30"/>
      <c r="AU132" s="42">
        <f t="shared" si="31"/>
        <v>752596.242</v>
      </c>
      <c r="AV132" s="29"/>
      <c r="AW132" s="29"/>
      <c r="AX132" s="29"/>
      <c r="AY132" s="29"/>
      <c r="AZ132" s="30"/>
    </row>
    <row r="133" spans="1:52" ht="12.75" hidden="1">
      <c r="A133" s="247" t="s">
        <v>411</v>
      </c>
      <c r="B133" s="30">
        <v>0</v>
      </c>
      <c r="C133" s="30">
        <v>0</v>
      </c>
      <c r="D133" s="30">
        <v>0</v>
      </c>
      <c r="E133" s="30">
        <v>0</v>
      </c>
      <c r="F133" s="30">
        <v>3408.716</v>
      </c>
      <c r="G133" s="30">
        <v>1639.572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132">
        <v>0</v>
      </c>
      <c r="V133" s="30">
        <v>0</v>
      </c>
      <c r="W133" s="30">
        <v>0</v>
      </c>
      <c r="X133" s="29">
        <v>0</v>
      </c>
      <c r="Y133" s="29">
        <v>0</v>
      </c>
      <c r="Z133" s="29">
        <v>0</v>
      </c>
      <c r="AA133" s="29">
        <v>0</v>
      </c>
      <c r="AB133" s="30">
        <v>0</v>
      </c>
      <c r="AC133" s="30">
        <v>0</v>
      </c>
      <c r="AD133" s="30"/>
      <c r="AE133" s="30">
        <v>0</v>
      </c>
      <c r="AF133" s="30"/>
      <c r="AG133" s="30">
        <v>0</v>
      </c>
      <c r="AH133" s="30"/>
      <c r="AI133" s="30"/>
      <c r="AJ133" s="30"/>
      <c r="AK133" s="30">
        <v>0</v>
      </c>
      <c r="AL133" s="30">
        <v>0</v>
      </c>
      <c r="AM133" s="30">
        <v>0</v>
      </c>
      <c r="AN133" s="30">
        <v>443</v>
      </c>
      <c r="AO133" s="30">
        <v>282</v>
      </c>
      <c r="AP133" s="30">
        <v>3</v>
      </c>
      <c r="AQ133" s="30">
        <v>0</v>
      </c>
      <c r="AR133" s="30">
        <v>0</v>
      </c>
      <c r="AS133" s="30">
        <v>0</v>
      </c>
      <c r="AT133" s="30"/>
      <c r="AU133" s="42">
        <f t="shared" si="31"/>
        <v>5776.288</v>
      </c>
      <c r="AV133" s="29"/>
      <c r="AW133" s="29"/>
      <c r="AX133" s="29"/>
      <c r="AY133" s="29"/>
      <c r="AZ133" s="30"/>
    </row>
    <row r="134" spans="1:52" ht="12.75" hidden="1">
      <c r="A134" s="247" t="s">
        <v>412</v>
      </c>
      <c r="B134" s="30">
        <v>20982.524</v>
      </c>
      <c r="C134" s="30">
        <v>0</v>
      </c>
      <c r="D134" s="30">
        <v>0</v>
      </c>
      <c r="E134" s="30">
        <v>0</v>
      </c>
      <c r="F134" s="30">
        <v>8332.849</v>
      </c>
      <c r="G134" s="30">
        <v>1763.711</v>
      </c>
      <c r="H134" s="30">
        <v>418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722796</v>
      </c>
      <c r="Q134" s="30">
        <v>12148</v>
      </c>
      <c r="R134" s="30">
        <v>0</v>
      </c>
      <c r="S134" s="30">
        <v>0</v>
      </c>
      <c r="T134" s="30">
        <v>0</v>
      </c>
      <c r="U134" s="132">
        <v>0</v>
      </c>
      <c r="V134" s="30">
        <v>0</v>
      </c>
      <c r="W134" s="30">
        <v>0</v>
      </c>
      <c r="X134" s="29">
        <v>39701.851</v>
      </c>
      <c r="Y134" s="29">
        <v>139422.615</v>
      </c>
      <c r="Z134" s="29">
        <v>13092.53</v>
      </c>
      <c r="AA134" s="29">
        <v>0</v>
      </c>
      <c r="AB134" s="30">
        <v>3304.304</v>
      </c>
      <c r="AC134" s="30">
        <v>0</v>
      </c>
      <c r="AD134" s="30"/>
      <c r="AE134" s="30">
        <v>4016</v>
      </c>
      <c r="AF134" s="30"/>
      <c r="AG134" s="30">
        <v>107150</v>
      </c>
      <c r="AH134" s="30">
        <v>4414.472</v>
      </c>
      <c r="AI134" s="30">
        <v>9705.542</v>
      </c>
      <c r="AJ134" s="30">
        <v>5711.37</v>
      </c>
      <c r="AK134" s="30">
        <v>2332</v>
      </c>
      <c r="AL134" s="30">
        <v>0</v>
      </c>
      <c r="AM134" s="30">
        <v>0</v>
      </c>
      <c r="AN134" s="30">
        <v>6479</v>
      </c>
      <c r="AO134" s="30">
        <v>18954</v>
      </c>
      <c r="AP134" s="30">
        <v>6733</v>
      </c>
      <c r="AQ134" s="30">
        <v>0</v>
      </c>
      <c r="AR134" s="30">
        <v>0</v>
      </c>
      <c r="AS134" s="30">
        <v>18280</v>
      </c>
      <c r="AT134" s="30"/>
      <c r="AU134" s="42">
        <f t="shared" si="31"/>
        <v>1145737.7680000002</v>
      </c>
      <c r="AV134" s="29"/>
      <c r="AW134" s="29"/>
      <c r="AX134" s="29"/>
      <c r="AY134" s="29"/>
      <c r="AZ134" s="30"/>
    </row>
    <row r="135" spans="1:52" ht="12.75" hidden="1">
      <c r="A135" s="247" t="s">
        <v>413</v>
      </c>
      <c r="B135" s="30">
        <v>1602875.587</v>
      </c>
      <c r="C135" s="30">
        <v>147026.102</v>
      </c>
      <c r="D135" s="30">
        <v>0</v>
      </c>
      <c r="E135" s="30">
        <v>0</v>
      </c>
      <c r="F135" s="30">
        <v>0</v>
      </c>
      <c r="G135" s="30">
        <v>0</v>
      </c>
      <c r="H135" s="30">
        <v>66552</v>
      </c>
      <c r="I135" s="30">
        <v>2865</v>
      </c>
      <c r="J135" s="30">
        <v>0</v>
      </c>
      <c r="K135" s="30">
        <v>0</v>
      </c>
      <c r="L135" s="30">
        <v>0</v>
      </c>
      <c r="M135" s="30">
        <v>80405</v>
      </c>
      <c r="N135" s="30">
        <v>204150</v>
      </c>
      <c r="O135" s="30">
        <v>0</v>
      </c>
      <c r="P135" s="30">
        <v>19514202</v>
      </c>
      <c r="Q135" s="30">
        <v>627305</v>
      </c>
      <c r="R135" s="30">
        <v>0</v>
      </c>
      <c r="S135" s="30">
        <v>0</v>
      </c>
      <c r="T135" s="30">
        <v>0</v>
      </c>
      <c r="U135" s="132">
        <v>0</v>
      </c>
      <c r="V135" s="30">
        <v>4759.93</v>
      </c>
      <c r="W135" s="30">
        <v>2527</v>
      </c>
      <c r="X135" s="29">
        <v>849163.7</v>
      </c>
      <c r="Y135" s="29">
        <v>1131852.857</v>
      </c>
      <c r="Z135" s="29">
        <v>359525.104</v>
      </c>
      <c r="AA135" s="29">
        <v>0</v>
      </c>
      <c r="AB135" s="30">
        <v>9423.813</v>
      </c>
      <c r="AC135" s="30">
        <v>225.3</v>
      </c>
      <c r="AD135" s="30">
        <v>430.8</v>
      </c>
      <c r="AE135" s="30">
        <v>0</v>
      </c>
      <c r="AF135" s="30"/>
      <c r="AG135" s="30">
        <v>634816</v>
      </c>
      <c r="AH135" s="30">
        <v>2226072.846</v>
      </c>
      <c r="AI135" s="30">
        <v>2379690.105</v>
      </c>
      <c r="AJ135" s="30">
        <v>983850.349</v>
      </c>
      <c r="AK135" s="30">
        <v>256581</v>
      </c>
      <c r="AL135" s="30">
        <v>18205</v>
      </c>
      <c r="AM135" s="30">
        <v>0</v>
      </c>
      <c r="AN135" s="30">
        <v>106736</v>
      </c>
      <c r="AO135" s="30">
        <v>210051</v>
      </c>
      <c r="AP135" s="30">
        <v>226158</v>
      </c>
      <c r="AQ135" s="30">
        <v>0</v>
      </c>
      <c r="AR135" s="30">
        <v>0</v>
      </c>
      <c r="AS135" s="30">
        <v>935390</v>
      </c>
      <c r="AT135" s="30"/>
      <c r="AU135" s="42">
        <f t="shared" si="31"/>
        <v>32580839.493</v>
      </c>
      <c r="AV135" s="29"/>
      <c r="AW135" s="29"/>
      <c r="AX135" s="29"/>
      <c r="AY135" s="29"/>
      <c r="AZ135" s="30"/>
    </row>
    <row r="136" spans="1:52" ht="12.75" hidden="1">
      <c r="A136" s="247" t="s">
        <v>414</v>
      </c>
      <c r="B136" s="30">
        <v>-64.81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218428</v>
      </c>
      <c r="N136" s="30">
        <v>473523</v>
      </c>
      <c r="O136" s="30">
        <v>0</v>
      </c>
      <c r="P136" s="30">
        <v>1879045</v>
      </c>
      <c r="Q136" s="30">
        <v>278207</v>
      </c>
      <c r="R136" s="30">
        <v>0</v>
      </c>
      <c r="S136" s="30">
        <v>0</v>
      </c>
      <c r="T136" s="30">
        <v>0</v>
      </c>
      <c r="U136" s="132">
        <v>0</v>
      </c>
      <c r="V136" s="30">
        <v>0</v>
      </c>
      <c r="W136" s="30">
        <v>0</v>
      </c>
      <c r="X136" s="29">
        <v>0</v>
      </c>
      <c r="Y136" s="29">
        <v>0</v>
      </c>
      <c r="Z136" s="29">
        <v>0</v>
      </c>
      <c r="AA136" s="29">
        <v>0</v>
      </c>
      <c r="AB136" s="30">
        <v>49908.6</v>
      </c>
      <c r="AC136" s="30">
        <v>26.4</v>
      </c>
      <c r="AD136" s="30">
        <v>144.6</v>
      </c>
      <c r="AE136" s="30">
        <v>0</v>
      </c>
      <c r="AF136" s="30"/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266793</v>
      </c>
      <c r="AO136" s="30">
        <v>621178</v>
      </c>
      <c r="AP136" s="30">
        <v>324939</v>
      </c>
      <c r="AQ136" s="30">
        <v>0</v>
      </c>
      <c r="AR136" s="30">
        <v>0</v>
      </c>
      <c r="AS136" s="30">
        <v>0</v>
      </c>
      <c r="AT136" s="30"/>
      <c r="AU136" s="42">
        <f t="shared" si="31"/>
        <v>4112127.79</v>
      </c>
      <c r="AV136" s="29"/>
      <c r="AW136" s="29"/>
      <c r="AX136" s="29"/>
      <c r="AY136" s="29"/>
      <c r="AZ136" s="30"/>
    </row>
    <row r="137" spans="1:52" ht="12.75" hidden="1">
      <c r="A137" s="247" t="s">
        <v>415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132">
        <v>0</v>
      </c>
      <c r="V137" s="30">
        <v>0</v>
      </c>
      <c r="W137" s="30">
        <v>0</v>
      </c>
      <c r="X137" s="29">
        <v>0</v>
      </c>
      <c r="Y137" s="29">
        <v>0</v>
      </c>
      <c r="Z137" s="29">
        <v>0</v>
      </c>
      <c r="AA137" s="29">
        <v>0</v>
      </c>
      <c r="AB137" s="30">
        <v>14845.912</v>
      </c>
      <c r="AC137" s="30">
        <v>0</v>
      </c>
      <c r="AD137" s="30">
        <v>0</v>
      </c>
      <c r="AE137" s="30">
        <v>0</v>
      </c>
      <c r="AF137" s="30"/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/>
      <c r="AU137" s="42">
        <f t="shared" si="31"/>
        <v>14845.912</v>
      </c>
      <c r="AV137" s="29"/>
      <c r="AW137" s="29"/>
      <c r="AX137" s="29"/>
      <c r="AY137" s="29"/>
      <c r="AZ137" s="30"/>
    </row>
    <row r="138" spans="1:52" ht="12.75" hidden="1">
      <c r="A138" s="247" t="s">
        <v>416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132">
        <v>0</v>
      </c>
      <c r="V138" s="30">
        <v>0</v>
      </c>
      <c r="W138" s="30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30">
        <v>0</v>
      </c>
      <c r="AD138" s="30">
        <v>0</v>
      </c>
      <c r="AE138" s="30">
        <v>0</v>
      </c>
      <c r="AF138" s="30"/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/>
      <c r="AU138" s="42">
        <f t="shared" si="31"/>
        <v>0</v>
      </c>
      <c r="AV138" s="29"/>
      <c r="AW138" s="29"/>
      <c r="AX138" s="29"/>
      <c r="AY138" s="29"/>
      <c r="AZ138" s="30"/>
    </row>
    <row r="139" spans="1:52" ht="12.75" hidden="1">
      <c r="A139" s="247" t="s">
        <v>417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132">
        <v>-141012</v>
      </c>
      <c r="V139" s="30">
        <v>0</v>
      </c>
      <c r="W139" s="30">
        <v>248</v>
      </c>
      <c r="X139" s="29">
        <v>2215.289</v>
      </c>
      <c r="Y139" s="29">
        <v>6911.902</v>
      </c>
      <c r="Z139" s="29">
        <v>279.747</v>
      </c>
      <c r="AA139" s="29">
        <v>0</v>
      </c>
      <c r="AB139" s="29">
        <v>0</v>
      </c>
      <c r="AC139" s="30">
        <v>0</v>
      </c>
      <c r="AD139" s="30">
        <v>0</v>
      </c>
      <c r="AE139" s="30">
        <v>0</v>
      </c>
      <c r="AF139" s="30"/>
      <c r="AG139" s="30">
        <v>128</v>
      </c>
      <c r="AH139" s="30">
        <v>-106773.168</v>
      </c>
      <c r="AI139" s="30">
        <v>56777.986</v>
      </c>
      <c r="AJ139" s="30">
        <v>-7744.889</v>
      </c>
      <c r="AK139" s="30">
        <v>0</v>
      </c>
      <c r="AL139" s="30">
        <v>0</v>
      </c>
      <c r="AM139" s="30">
        <v>0</v>
      </c>
      <c r="AN139" s="30">
        <v>3038</v>
      </c>
      <c r="AO139" s="30">
        <v>950</v>
      </c>
      <c r="AP139" s="30">
        <v>-2869</v>
      </c>
      <c r="AQ139" s="30">
        <v>0</v>
      </c>
      <c r="AR139" s="30">
        <v>0</v>
      </c>
      <c r="AS139" s="30">
        <v>-1768</v>
      </c>
      <c r="AT139" s="30"/>
      <c r="AU139" s="42">
        <f t="shared" si="31"/>
        <v>-189618.133</v>
      </c>
      <c r="AV139" s="29"/>
      <c r="AW139" s="29"/>
      <c r="AX139" s="29"/>
      <c r="AY139" s="29"/>
      <c r="AZ139" s="30"/>
    </row>
    <row r="140" spans="1:52" ht="12.75">
      <c r="A140" s="260" t="s">
        <v>408</v>
      </c>
      <c r="B140" s="30">
        <f aca="true" t="shared" si="32" ref="B140:AA140">SUM(B131:B139)</f>
        <v>1984354.339</v>
      </c>
      <c r="C140" s="30">
        <f t="shared" si="32"/>
        <v>337648.504</v>
      </c>
      <c r="D140" s="30">
        <f t="shared" si="32"/>
        <v>79772.289</v>
      </c>
      <c r="E140" s="30">
        <f t="shared" si="32"/>
        <v>458728</v>
      </c>
      <c r="F140" s="30">
        <f t="shared" si="32"/>
        <v>65232.957</v>
      </c>
      <c r="G140" s="30">
        <f t="shared" si="32"/>
        <v>108154.968</v>
      </c>
      <c r="H140" s="30">
        <f t="shared" si="32"/>
        <v>99310</v>
      </c>
      <c r="I140" s="30">
        <f t="shared" si="32"/>
        <v>6733</v>
      </c>
      <c r="J140" s="30">
        <f t="shared" si="32"/>
        <v>5919</v>
      </c>
      <c r="K140" s="30">
        <f t="shared" si="32"/>
        <v>52152</v>
      </c>
      <c r="L140" s="30">
        <f t="shared" si="32"/>
        <v>242919</v>
      </c>
      <c r="M140" s="30">
        <f t="shared" si="32"/>
        <v>348309</v>
      </c>
      <c r="N140" s="30">
        <f t="shared" si="32"/>
        <v>797413</v>
      </c>
      <c r="O140" s="30">
        <f t="shared" si="32"/>
        <v>29261</v>
      </c>
      <c r="P140" s="30">
        <f t="shared" si="32"/>
        <v>23030686</v>
      </c>
      <c r="Q140" s="30">
        <f t="shared" si="32"/>
        <v>1345068</v>
      </c>
      <c r="R140" s="30">
        <f t="shared" si="32"/>
        <v>1402512</v>
      </c>
      <c r="S140" s="30">
        <f t="shared" si="32"/>
        <v>14915</v>
      </c>
      <c r="T140" s="30">
        <f t="shared" si="32"/>
        <v>79961</v>
      </c>
      <c r="U140" s="30">
        <f t="shared" si="32"/>
        <v>27856</v>
      </c>
      <c r="V140" s="30">
        <f t="shared" si="32"/>
        <v>11856.025000000001</v>
      </c>
      <c r="W140" s="30">
        <f t="shared" si="32"/>
        <v>45114</v>
      </c>
      <c r="X140" s="30">
        <f t="shared" si="32"/>
        <v>1593199.9830000002</v>
      </c>
      <c r="Y140" s="30">
        <f t="shared" si="32"/>
        <v>2369557.8279999997</v>
      </c>
      <c r="Z140" s="30">
        <f t="shared" si="32"/>
        <v>395146.789</v>
      </c>
      <c r="AA140" s="30">
        <f t="shared" si="32"/>
        <v>150223.40300000002</v>
      </c>
      <c r="AB140" s="30">
        <f aca="true" t="shared" si="33" ref="AB140:AS140">SUM(AB131:AB139)</f>
        <v>227183.67400000003</v>
      </c>
      <c r="AC140" s="30">
        <f t="shared" si="33"/>
        <v>5472.599999999999</v>
      </c>
      <c r="AD140" s="30">
        <f t="shared" si="33"/>
        <v>11781</v>
      </c>
      <c r="AE140" s="30">
        <f t="shared" si="33"/>
        <v>13801</v>
      </c>
      <c r="AF140" s="30">
        <f t="shared" si="33"/>
        <v>0</v>
      </c>
      <c r="AG140" s="30">
        <f t="shared" si="33"/>
        <v>1170723</v>
      </c>
      <c r="AH140" s="30">
        <f t="shared" si="33"/>
        <v>2736761.152</v>
      </c>
      <c r="AI140" s="30">
        <f t="shared" si="33"/>
        <v>2810654.275</v>
      </c>
      <c r="AJ140" s="30">
        <f t="shared" si="33"/>
        <v>1021308.3890000001</v>
      </c>
      <c r="AK140" s="30">
        <f t="shared" si="33"/>
        <v>309556</v>
      </c>
      <c r="AL140" s="30">
        <f t="shared" si="33"/>
        <v>38442</v>
      </c>
      <c r="AM140" s="30">
        <f t="shared" si="33"/>
        <v>11940</v>
      </c>
      <c r="AN140" s="30">
        <f t="shared" si="33"/>
        <v>550775</v>
      </c>
      <c r="AO140" s="30">
        <f t="shared" si="33"/>
        <v>1968946</v>
      </c>
      <c r="AP140" s="30">
        <f t="shared" si="33"/>
        <v>1243623</v>
      </c>
      <c r="AQ140" s="30">
        <f t="shared" si="33"/>
        <v>60880</v>
      </c>
      <c r="AR140" s="30">
        <f t="shared" si="33"/>
        <v>2491.4</v>
      </c>
      <c r="AS140" s="30">
        <f t="shared" si="33"/>
        <v>1024257</v>
      </c>
      <c r="AT140" s="29"/>
      <c r="AU140" s="42">
        <f t="shared" si="31"/>
        <v>48290598.574999996</v>
      </c>
      <c r="AV140" s="29"/>
      <c r="AW140" s="29"/>
      <c r="AX140" s="29"/>
      <c r="AY140" s="29"/>
      <c r="AZ140" s="30"/>
    </row>
    <row r="141" spans="1:52" ht="12.75" hidden="1">
      <c r="A141" s="251"/>
      <c r="B141" s="30"/>
      <c r="C141" s="30"/>
      <c r="D141" s="30"/>
      <c r="U141" s="33"/>
      <c r="AV141" s="29"/>
      <c r="AW141" s="29"/>
      <c r="AX141" s="29"/>
      <c r="AY141" s="29"/>
      <c r="AZ141" s="30"/>
    </row>
    <row r="142" spans="1:52" ht="12.75" hidden="1">
      <c r="A142" s="246" t="s">
        <v>418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132"/>
      <c r="V142" s="30"/>
      <c r="W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V142" s="29"/>
      <c r="AW142" s="29"/>
      <c r="AX142" s="29"/>
      <c r="AY142" s="29"/>
      <c r="AZ142" s="30"/>
    </row>
    <row r="143" spans="1:52" ht="12.75" hidden="1">
      <c r="A143" s="247" t="s">
        <v>419</v>
      </c>
      <c r="B143" s="30">
        <v>16574</v>
      </c>
      <c r="C143" s="30">
        <v>193</v>
      </c>
      <c r="D143" s="30">
        <v>497</v>
      </c>
      <c r="E143" s="30">
        <v>13881</v>
      </c>
      <c r="F143" s="30">
        <v>677.962</v>
      </c>
      <c r="G143" s="30">
        <v>463.512</v>
      </c>
      <c r="H143" s="30">
        <v>517</v>
      </c>
      <c r="I143" s="30">
        <v>0</v>
      </c>
      <c r="J143" s="30">
        <v>0</v>
      </c>
      <c r="K143" s="30">
        <v>1031</v>
      </c>
      <c r="L143" s="30">
        <v>6875</v>
      </c>
      <c r="M143" s="30">
        <v>2270</v>
      </c>
      <c r="N143" s="30">
        <v>311</v>
      </c>
      <c r="O143" s="30">
        <v>123</v>
      </c>
      <c r="P143" s="30">
        <v>228544</v>
      </c>
      <c r="Q143" s="30">
        <v>2639</v>
      </c>
      <c r="R143" s="30">
        <v>61027</v>
      </c>
      <c r="S143" s="30">
        <v>0</v>
      </c>
      <c r="T143" s="30">
        <v>0</v>
      </c>
      <c r="U143" s="132">
        <v>20123</v>
      </c>
      <c r="V143" s="30">
        <v>0</v>
      </c>
      <c r="W143" s="30">
        <v>0</v>
      </c>
      <c r="X143" s="30">
        <v>3996.111</v>
      </c>
      <c r="Y143" s="30">
        <v>94546.997</v>
      </c>
      <c r="Z143" s="30">
        <v>70825.221</v>
      </c>
      <c r="AA143" s="30">
        <v>632.094</v>
      </c>
      <c r="AB143" s="30">
        <v>0</v>
      </c>
      <c r="AC143" s="30">
        <v>0</v>
      </c>
      <c r="AD143" s="30">
        <v>0</v>
      </c>
      <c r="AE143" s="30">
        <v>0</v>
      </c>
      <c r="AF143" s="30"/>
      <c r="AG143" s="30">
        <v>31177</v>
      </c>
      <c r="AH143" s="30">
        <v>5424.751</v>
      </c>
      <c r="AI143" s="30">
        <v>19636.561</v>
      </c>
      <c r="AJ143" s="30">
        <v>63726.048</v>
      </c>
      <c r="AK143" s="30">
        <v>628</v>
      </c>
      <c r="AL143" s="30">
        <v>0</v>
      </c>
      <c r="AM143" s="30">
        <v>0</v>
      </c>
      <c r="AN143" s="30">
        <v>20383</v>
      </c>
      <c r="AO143" s="30">
        <v>1562</v>
      </c>
      <c r="AP143" s="30">
        <v>1655</v>
      </c>
      <c r="AQ143" s="30">
        <v>0</v>
      </c>
      <c r="AR143" s="30">
        <v>0</v>
      </c>
      <c r="AS143" s="30">
        <v>14374</v>
      </c>
      <c r="AT143" s="30"/>
      <c r="AU143" s="42">
        <f t="shared" si="31"/>
        <v>684313.257</v>
      </c>
      <c r="AV143" s="29"/>
      <c r="AW143" s="29"/>
      <c r="AX143" s="29"/>
      <c r="AY143" s="29"/>
      <c r="AZ143" s="30"/>
    </row>
    <row r="144" spans="1:52" ht="12.75" hidden="1">
      <c r="A144" s="247" t="s">
        <v>420</v>
      </c>
      <c r="B144" s="30">
        <v>1372</v>
      </c>
      <c r="C144" s="30">
        <v>47</v>
      </c>
      <c r="D144" s="30">
        <v>0</v>
      </c>
      <c r="E144" s="30">
        <v>331</v>
      </c>
      <c r="F144" s="30">
        <v>27.006</v>
      </c>
      <c r="G144" s="30">
        <v>25.825</v>
      </c>
      <c r="H144" s="30">
        <v>76</v>
      </c>
      <c r="I144" s="30">
        <v>0</v>
      </c>
      <c r="J144" s="30">
        <v>0</v>
      </c>
      <c r="K144" s="30">
        <v>291</v>
      </c>
      <c r="L144" s="30">
        <v>792</v>
      </c>
      <c r="M144" s="30">
        <v>171</v>
      </c>
      <c r="N144" s="30">
        <v>399</v>
      </c>
      <c r="O144" s="30">
        <v>0</v>
      </c>
      <c r="P144" s="30">
        <v>77901</v>
      </c>
      <c r="Q144" s="30">
        <v>1643</v>
      </c>
      <c r="R144" s="30">
        <v>3150</v>
      </c>
      <c r="S144" s="30">
        <v>302</v>
      </c>
      <c r="T144" s="30">
        <v>201</v>
      </c>
      <c r="U144" s="132">
        <v>3325</v>
      </c>
      <c r="V144" s="30">
        <v>1.012</v>
      </c>
      <c r="W144" s="30">
        <v>0</v>
      </c>
      <c r="X144" s="29">
        <v>44.997</v>
      </c>
      <c r="Y144" s="29">
        <v>134.941</v>
      </c>
      <c r="Z144" s="29">
        <v>11.5</v>
      </c>
      <c r="AA144" s="29">
        <v>0</v>
      </c>
      <c r="AB144" s="29">
        <v>0</v>
      </c>
      <c r="AC144" s="30">
        <v>0</v>
      </c>
      <c r="AD144" s="30">
        <v>0</v>
      </c>
      <c r="AE144" s="30">
        <v>0</v>
      </c>
      <c r="AF144" s="30"/>
      <c r="AG144" s="30">
        <v>960</v>
      </c>
      <c r="AH144" s="30">
        <v>8456.919</v>
      </c>
      <c r="AI144" s="30">
        <v>9360.717</v>
      </c>
      <c r="AJ144" s="30">
        <v>2244.91</v>
      </c>
      <c r="AK144" s="30">
        <v>4</v>
      </c>
      <c r="AL144" s="30">
        <v>0</v>
      </c>
      <c r="AM144" s="30">
        <v>0</v>
      </c>
      <c r="AN144" s="30">
        <v>1129</v>
      </c>
      <c r="AO144" s="30">
        <v>3316</v>
      </c>
      <c r="AP144" s="30">
        <v>2009</v>
      </c>
      <c r="AQ144" s="30">
        <v>0</v>
      </c>
      <c r="AR144" s="30">
        <v>11.7</v>
      </c>
      <c r="AS144" s="30">
        <v>1753</v>
      </c>
      <c r="AT144" s="30"/>
      <c r="AU144" s="42">
        <f t="shared" si="31"/>
        <v>119491.52700000002</v>
      </c>
      <c r="AV144" s="29"/>
      <c r="AW144" s="29"/>
      <c r="AX144" s="29"/>
      <c r="AY144" s="29"/>
      <c r="AZ144" s="30"/>
    </row>
    <row r="145" spans="1:52" ht="12.75" hidden="1">
      <c r="A145" s="248" t="s">
        <v>421</v>
      </c>
      <c r="B145" s="30">
        <v>74.4</v>
      </c>
      <c r="C145" s="30">
        <v>0</v>
      </c>
      <c r="D145" s="30">
        <v>0</v>
      </c>
      <c r="E145" s="30">
        <v>334</v>
      </c>
      <c r="F145" s="30">
        <v>1121.455</v>
      </c>
      <c r="G145" s="30">
        <v>678.902</v>
      </c>
      <c r="H145" s="30">
        <v>0</v>
      </c>
      <c r="I145" s="30">
        <v>0</v>
      </c>
      <c r="J145" s="30">
        <v>0</v>
      </c>
      <c r="K145" s="30">
        <v>294</v>
      </c>
      <c r="L145" s="30">
        <v>799</v>
      </c>
      <c r="M145" s="30">
        <v>348</v>
      </c>
      <c r="N145" s="30">
        <v>810</v>
      </c>
      <c r="O145" s="30">
        <v>0</v>
      </c>
      <c r="P145" s="30">
        <v>34808</v>
      </c>
      <c r="Q145" s="30">
        <v>821</v>
      </c>
      <c r="R145" s="30">
        <v>1642</v>
      </c>
      <c r="S145" s="30">
        <v>303</v>
      </c>
      <c r="T145" s="30">
        <v>200</v>
      </c>
      <c r="U145" s="132">
        <v>4408</v>
      </c>
      <c r="V145" s="30">
        <v>0</v>
      </c>
      <c r="W145" s="30">
        <v>321</v>
      </c>
      <c r="X145" s="29">
        <v>8969.95</v>
      </c>
      <c r="Y145" s="29">
        <v>26570.414</v>
      </c>
      <c r="Z145" s="29">
        <v>2264.412</v>
      </c>
      <c r="AA145" s="29">
        <v>70.969</v>
      </c>
      <c r="AB145" s="30">
        <v>1147.374</v>
      </c>
      <c r="AC145" s="30">
        <v>103</v>
      </c>
      <c r="AD145" s="30">
        <v>220.9</v>
      </c>
      <c r="AE145" s="30">
        <v>0</v>
      </c>
      <c r="AF145" s="30"/>
      <c r="AG145" s="30">
        <v>5463</v>
      </c>
      <c r="AH145" s="30">
        <v>8360.286</v>
      </c>
      <c r="AI145" s="30">
        <v>11494.313</v>
      </c>
      <c r="AJ145" s="30">
        <v>3500.615</v>
      </c>
      <c r="AK145" s="30">
        <v>0</v>
      </c>
      <c r="AL145" s="30">
        <v>0</v>
      </c>
      <c r="AM145" s="30">
        <v>0</v>
      </c>
      <c r="AN145" s="30">
        <v>1090</v>
      </c>
      <c r="AO145" s="30">
        <v>2623</v>
      </c>
      <c r="AP145" s="30">
        <v>1733</v>
      </c>
      <c r="AQ145" s="30">
        <v>0</v>
      </c>
      <c r="AR145" s="30">
        <v>57.8</v>
      </c>
      <c r="AS145" s="30">
        <v>2110</v>
      </c>
      <c r="AT145" s="30"/>
      <c r="AU145" s="42">
        <f t="shared" si="31"/>
        <v>122741.78999999998</v>
      </c>
      <c r="AV145" s="29"/>
      <c r="AW145" s="29"/>
      <c r="AX145" s="29"/>
      <c r="AY145" s="29"/>
      <c r="AZ145" s="30"/>
    </row>
    <row r="146" spans="1:52" ht="12.75" hidden="1">
      <c r="A146" s="247" t="s">
        <v>422</v>
      </c>
      <c r="B146" s="30">
        <v>33.74</v>
      </c>
      <c r="C146" s="30">
        <v>0</v>
      </c>
      <c r="D146" s="30">
        <v>0</v>
      </c>
      <c r="E146" s="30">
        <v>0</v>
      </c>
      <c r="F146" s="30">
        <v>-1602.882</v>
      </c>
      <c r="G146" s="30">
        <v>6156.399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18790</v>
      </c>
      <c r="Q146" s="30">
        <v>-269</v>
      </c>
      <c r="R146" s="30">
        <v>-1901</v>
      </c>
      <c r="S146" s="30">
        <v>0</v>
      </c>
      <c r="T146" s="30">
        <v>0</v>
      </c>
      <c r="U146" s="132">
        <v>0</v>
      </c>
      <c r="V146" s="30">
        <v>0</v>
      </c>
      <c r="W146" s="30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30">
        <v>0</v>
      </c>
      <c r="AD146" s="30">
        <v>0</v>
      </c>
      <c r="AE146" s="30">
        <v>0</v>
      </c>
      <c r="AF146" s="30"/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/>
      <c r="AU146" s="42">
        <f t="shared" si="31"/>
        <v>21207.257</v>
      </c>
      <c r="AV146" s="29"/>
      <c r="AW146" s="29"/>
      <c r="AX146" s="29"/>
      <c r="AY146" s="29"/>
      <c r="AZ146" s="30"/>
    </row>
    <row r="147" spans="1:52" ht="12.75" hidden="1">
      <c r="A147" s="247" t="s">
        <v>423</v>
      </c>
      <c r="B147" s="30">
        <v>2023</v>
      </c>
      <c r="C147" s="30">
        <v>-74</v>
      </c>
      <c r="D147" s="30">
        <v>-79</v>
      </c>
      <c r="E147" s="30">
        <v>0</v>
      </c>
      <c r="F147" s="30">
        <v>0</v>
      </c>
      <c r="G147" s="30">
        <v>0</v>
      </c>
      <c r="H147" s="30">
        <v>39</v>
      </c>
      <c r="I147" s="30">
        <v>0</v>
      </c>
      <c r="J147" s="30">
        <v>0</v>
      </c>
      <c r="K147" s="30">
        <v>50536</v>
      </c>
      <c r="L147" s="30">
        <v>234453</v>
      </c>
      <c r="M147" s="30">
        <v>6163</v>
      </c>
      <c r="N147" s="30">
        <v>19036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132">
        <v>0</v>
      </c>
      <c r="V147" s="30">
        <v>0</v>
      </c>
      <c r="W147" s="30">
        <v>0</v>
      </c>
      <c r="X147" s="29">
        <v>4137.296</v>
      </c>
      <c r="Y147" s="29">
        <v>13791.71</v>
      </c>
      <c r="Z147" s="29">
        <v>1044.679</v>
      </c>
      <c r="AA147" s="29">
        <v>-28.788</v>
      </c>
      <c r="AB147" s="30">
        <v>14061.917</v>
      </c>
      <c r="AC147" s="30">
        <v>7.4</v>
      </c>
      <c r="AD147" s="30">
        <v>52.6</v>
      </c>
      <c r="AE147" s="30">
        <v>323</v>
      </c>
      <c r="AF147" s="30"/>
      <c r="AG147" s="30">
        <v>16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10785</v>
      </c>
      <c r="AT147" s="30"/>
      <c r="AU147" s="42">
        <f t="shared" si="31"/>
        <v>356287.814</v>
      </c>
      <c r="AV147" s="29"/>
      <c r="AW147" s="29"/>
      <c r="AX147" s="29"/>
      <c r="AY147" s="29"/>
      <c r="AZ147" s="30"/>
    </row>
    <row r="148" spans="1:52" ht="12.75">
      <c r="A148" s="260" t="s">
        <v>418</v>
      </c>
      <c r="B148" s="30">
        <f aca="true" t="shared" si="34" ref="B148:AA148">SUM(B143:B147)</f>
        <v>20077.140000000003</v>
      </c>
      <c r="C148" s="30">
        <f t="shared" si="34"/>
        <v>166</v>
      </c>
      <c r="D148" s="30">
        <f t="shared" si="34"/>
        <v>418</v>
      </c>
      <c r="E148" s="30">
        <f t="shared" si="34"/>
        <v>14546</v>
      </c>
      <c r="F148" s="30">
        <f t="shared" si="34"/>
        <v>223.5409999999997</v>
      </c>
      <c r="G148" s="30">
        <f t="shared" si="34"/>
        <v>7324.638000000001</v>
      </c>
      <c r="H148" s="30">
        <f t="shared" si="34"/>
        <v>632</v>
      </c>
      <c r="I148" s="30">
        <f t="shared" si="34"/>
        <v>0</v>
      </c>
      <c r="J148" s="30">
        <f t="shared" si="34"/>
        <v>0</v>
      </c>
      <c r="K148" s="30">
        <f t="shared" si="34"/>
        <v>52152</v>
      </c>
      <c r="L148" s="30">
        <f t="shared" si="34"/>
        <v>242919</v>
      </c>
      <c r="M148" s="30">
        <f t="shared" si="34"/>
        <v>8952</v>
      </c>
      <c r="N148" s="30">
        <f t="shared" si="34"/>
        <v>20556</v>
      </c>
      <c r="O148" s="30">
        <f t="shared" si="34"/>
        <v>123</v>
      </c>
      <c r="P148" s="30">
        <f t="shared" si="34"/>
        <v>360043</v>
      </c>
      <c r="Q148" s="30">
        <f t="shared" si="34"/>
        <v>4834</v>
      </c>
      <c r="R148" s="30">
        <f t="shared" si="34"/>
        <v>63918</v>
      </c>
      <c r="S148" s="30">
        <f t="shared" si="34"/>
        <v>605</v>
      </c>
      <c r="T148" s="30">
        <f t="shared" si="34"/>
        <v>401</v>
      </c>
      <c r="U148" s="30">
        <f t="shared" si="34"/>
        <v>27856</v>
      </c>
      <c r="V148" s="30">
        <f t="shared" si="34"/>
        <v>1.012</v>
      </c>
      <c r="W148" s="30">
        <f t="shared" si="34"/>
        <v>321</v>
      </c>
      <c r="X148" s="30">
        <f t="shared" si="34"/>
        <v>17148.354</v>
      </c>
      <c r="Y148" s="30">
        <f t="shared" si="34"/>
        <v>135044.062</v>
      </c>
      <c r="Z148" s="30">
        <f t="shared" si="34"/>
        <v>74145.812</v>
      </c>
      <c r="AA148" s="30">
        <f t="shared" si="34"/>
        <v>674.2750000000001</v>
      </c>
      <c r="AB148" s="30">
        <f aca="true" t="shared" si="35" ref="AB148:AS148">SUM(AB143:AB147)</f>
        <v>15209.291</v>
      </c>
      <c r="AC148" s="30">
        <f t="shared" si="35"/>
        <v>110.4</v>
      </c>
      <c r="AD148" s="30">
        <f t="shared" si="35"/>
        <v>273.5</v>
      </c>
      <c r="AE148" s="30">
        <f t="shared" si="35"/>
        <v>323</v>
      </c>
      <c r="AF148" s="30">
        <f t="shared" si="35"/>
        <v>0</v>
      </c>
      <c r="AG148" s="30">
        <f t="shared" si="35"/>
        <v>37616</v>
      </c>
      <c r="AH148" s="30">
        <f t="shared" si="35"/>
        <v>22241.956</v>
      </c>
      <c r="AI148" s="30">
        <f t="shared" si="35"/>
        <v>40491.591</v>
      </c>
      <c r="AJ148" s="30">
        <f t="shared" si="35"/>
        <v>69471.573</v>
      </c>
      <c r="AK148" s="30">
        <f t="shared" si="35"/>
        <v>632</v>
      </c>
      <c r="AL148" s="30">
        <f t="shared" si="35"/>
        <v>0</v>
      </c>
      <c r="AM148" s="30">
        <f t="shared" si="35"/>
        <v>0</v>
      </c>
      <c r="AN148" s="30">
        <f t="shared" si="35"/>
        <v>22602</v>
      </c>
      <c r="AO148" s="30">
        <f t="shared" si="35"/>
        <v>7501</v>
      </c>
      <c r="AP148" s="30">
        <f t="shared" si="35"/>
        <v>5397</v>
      </c>
      <c r="AQ148" s="30">
        <f t="shared" si="35"/>
        <v>0</v>
      </c>
      <c r="AR148" s="30">
        <f t="shared" si="35"/>
        <v>69.5</v>
      </c>
      <c r="AS148" s="30">
        <f t="shared" si="35"/>
        <v>29022</v>
      </c>
      <c r="AT148" s="29"/>
      <c r="AU148" s="42">
        <f t="shared" si="31"/>
        <v>1304041.645</v>
      </c>
      <c r="AV148" s="29"/>
      <c r="AW148" s="29"/>
      <c r="AX148" s="29"/>
      <c r="AY148" s="29"/>
      <c r="AZ148" s="30"/>
    </row>
    <row r="149" spans="1:52" ht="12.75" hidden="1">
      <c r="A149" s="251"/>
      <c r="B149" s="30"/>
      <c r="C149" s="30"/>
      <c r="D149" s="30"/>
      <c r="U149" s="33"/>
      <c r="AV149" s="29"/>
      <c r="AW149" s="29"/>
      <c r="AX149" s="29"/>
      <c r="AY149" s="29"/>
      <c r="AZ149" s="30"/>
    </row>
    <row r="150" spans="1:52" ht="12.75">
      <c r="A150" s="119" t="s">
        <v>424</v>
      </c>
      <c r="B150" s="30"/>
      <c r="C150" s="30"/>
      <c r="D150" s="30"/>
      <c r="U150" s="33"/>
      <c r="AV150" s="29"/>
      <c r="AW150" s="29"/>
      <c r="AX150" s="29"/>
      <c r="AY150" s="29"/>
      <c r="AZ150" s="30"/>
    </row>
    <row r="151" spans="1:52" ht="12.75">
      <c r="A151" s="246" t="s">
        <v>425</v>
      </c>
      <c r="B151" s="30">
        <f aca="true" t="shared" si="36" ref="B151:AA151">+B140-B148</f>
        <v>1964277.199</v>
      </c>
      <c r="C151" s="30">
        <f t="shared" si="36"/>
        <v>337482.504</v>
      </c>
      <c r="D151" s="30">
        <f t="shared" si="36"/>
        <v>79354.289</v>
      </c>
      <c r="E151" s="30">
        <f t="shared" si="36"/>
        <v>444182</v>
      </c>
      <c r="F151" s="30">
        <f t="shared" si="36"/>
        <v>65009.416000000005</v>
      </c>
      <c r="G151" s="30">
        <f t="shared" si="36"/>
        <v>100830.32999999999</v>
      </c>
      <c r="H151" s="30">
        <f t="shared" si="36"/>
        <v>98678</v>
      </c>
      <c r="I151" s="30">
        <f t="shared" si="36"/>
        <v>6733</v>
      </c>
      <c r="J151" s="30">
        <f t="shared" si="36"/>
        <v>5919</v>
      </c>
      <c r="K151" s="30">
        <f t="shared" si="36"/>
        <v>0</v>
      </c>
      <c r="L151" s="30">
        <f t="shared" si="36"/>
        <v>0</v>
      </c>
      <c r="M151" s="30">
        <f t="shared" si="36"/>
        <v>339357</v>
      </c>
      <c r="N151" s="30">
        <f t="shared" si="36"/>
        <v>776857</v>
      </c>
      <c r="O151" s="30">
        <f t="shared" si="36"/>
        <v>29138</v>
      </c>
      <c r="P151" s="30">
        <f t="shared" si="36"/>
        <v>22670643</v>
      </c>
      <c r="Q151" s="30">
        <f t="shared" si="36"/>
        <v>1340234</v>
      </c>
      <c r="R151" s="30">
        <f t="shared" si="36"/>
        <v>1338594</v>
      </c>
      <c r="S151" s="30">
        <f t="shared" si="36"/>
        <v>14310</v>
      </c>
      <c r="T151" s="30">
        <f t="shared" si="36"/>
        <v>79560</v>
      </c>
      <c r="U151" s="30">
        <f t="shared" si="36"/>
        <v>0</v>
      </c>
      <c r="V151" s="30">
        <f t="shared" si="36"/>
        <v>11855.013</v>
      </c>
      <c r="W151" s="30">
        <f t="shared" si="36"/>
        <v>44793</v>
      </c>
      <c r="X151" s="30">
        <f t="shared" si="36"/>
        <v>1576051.6290000002</v>
      </c>
      <c r="Y151" s="30">
        <f t="shared" si="36"/>
        <v>2234513.766</v>
      </c>
      <c r="Z151" s="30">
        <f t="shared" si="36"/>
        <v>321000.97699999996</v>
      </c>
      <c r="AA151" s="30">
        <f t="shared" si="36"/>
        <v>149549.12800000003</v>
      </c>
      <c r="AB151" s="30">
        <f aca="true" t="shared" si="37" ref="AB151:AS151">+AB140-AB148</f>
        <v>211974.38300000003</v>
      </c>
      <c r="AC151" s="30">
        <f t="shared" si="37"/>
        <v>5362.2</v>
      </c>
      <c r="AD151" s="30">
        <f t="shared" si="37"/>
        <v>11507.5</v>
      </c>
      <c r="AE151" s="30">
        <f t="shared" si="37"/>
        <v>13478</v>
      </c>
      <c r="AF151" s="30">
        <f t="shared" si="37"/>
        <v>0</v>
      </c>
      <c r="AG151" s="30">
        <f t="shared" si="37"/>
        <v>1133107</v>
      </c>
      <c r="AH151" s="30">
        <f t="shared" si="37"/>
        <v>2714519.196</v>
      </c>
      <c r="AI151" s="30">
        <f t="shared" si="37"/>
        <v>2770162.684</v>
      </c>
      <c r="AJ151" s="30">
        <f t="shared" si="37"/>
        <v>951836.8160000001</v>
      </c>
      <c r="AK151" s="30">
        <f t="shared" si="37"/>
        <v>308924</v>
      </c>
      <c r="AL151" s="30">
        <f t="shared" si="37"/>
        <v>38442</v>
      </c>
      <c r="AM151" s="30">
        <f t="shared" si="37"/>
        <v>11940</v>
      </c>
      <c r="AN151" s="30">
        <f t="shared" si="37"/>
        <v>528173</v>
      </c>
      <c r="AO151" s="30">
        <f t="shared" si="37"/>
        <v>1961445</v>
      </c>
      <c r="AP151" s="30">
        <f t="shared" si="37"/>
        <v>1238226</v>
      </c>
      <c r="AQ151" s="30">
        <f t="shared" si="37"/>
        <v>60880</v>
      </c>
      <c r="AR151" s="30">
        <f t="shared" si="37"/>
        <v>2421.9</v>
      </c>
      <c r="AS151" s="30">
        <f t="shared" si="37"/>
        <v>995235</v>
      </c>
      <c r="AT151" s="29"/>
      <c r="AU151" s="42">
        <f t="shared" si="31"/>
        <v>46986556.93</v>
      </c>
      <c r="AV151" s="29"/>
      <c r="AW151" s="29"/>
      <c r="AX151" s="29"/>
      <c r="AY151" s="29"/>
      <c r="AZ151" s="30"/>
    </row>
    <row r="152" spans="1:52" ht="12.75" hidden="1">
      <c r="A152" s="247"/>
      <c r="B152" s="30"/>
      <c r="C152" s="30"/>
      <c r="D152" s="30"/>
      <c r="U152" s="33"/>
      <c r="AV152" s="29"/>
      <c r="AW152" s="29"/>
      <c r="AX152" s="29"/>
      <c r="AY152" s="29"/>
      <c r="AZ152" s="30"/>
    </row>
    <row r="153" spans="1:52" ht="12.75" hidden="1">
      <c r="A153" s="119" t="s">
        <v>426</v>
      </c>
      <c r="B153" s="30"/>
      <c r="C153" s="30"/>
      <c r="D153" s="30"/>
      <c r="U153" s="33"/>
      <c r="AV153" s="29"/>
      <c r="AW153" s="29"/>
      <c r="AX153" s="29"/>
      <c r="AY153" s="29"/>
      <c r="AZ153" s="30"/>
    </row>
    <row r="154" spans="1:52" ht="12.75" hidden="1">
      <c r="A154" s="247" t="s">
        <v>427</v>
      </c>
      <c r="B154" s="30">
        <v>1851792.711</v>
      </c>
      <c r="C154" s="30">
        <v>324411.079</v>
      </c>
      <c r="D154" s="30">
        <v>0</v>
      </c>
      <c r="E154" s="30"/>
      <c r="F154" s="30">
        <v>29584.774</v>
      </c>
      <c r="G154" s="30">
        <v>22016.692</v>
      </c>
      <c r="H154" s="30">
        <v>96048</v>
      </c>
      <c r="I154" s="30">
        <v>6204</v>
      </c>
      <c r="J154" s="30"/>
      <c r="K154" s="30"/>
      <c r="L154" s="30"/>
      <c r="M154" s="30">
        <v>64883</v>
      </c>
      <c r="N154" s="30">
        <v>209038</v>
      </c>
      <c r="O154" s="30">
        <v>29138</v>
      </c>
      <c r="P154" s="30">
        <v>20791375</v>
      </c>
      <c r="Q154" s="30">
        <v>1130395</v>
      </c>
      <c r="R154" s="30">
        <v>0</v>
      </c>
      <c r="S154" s="30">
        <v>5008</v>
      </c>
      <c r="T154" s="30">
        <v>0</v>
      </c>
      <c r="U154" s="132"/>
      <c r="V154" s="30">
        <v>11842.627</v>
      </c>
      <c r="W154" s="30">
        <v>17116</v>
      </c>
      <c r="X154" s="29">
        <v>1420363.965</v>
      </c>
      <c r="Y154" s="29">
        <v>2045258.087</v>
      </c>
      <c r="Z154" s="29">
        <v>297990.293</v>
      </c>
      <c r="AA154" s="29">
        <v>0</v>
      </c>
      <c r="AB154" s="42">
        <v>105309.1</v>
      </c>
      <c r="AC154" s="30">
        <v>1200.1</v>
      </c>
      <c r="AD154" s="30">
        <v>4272.4</v>
      </c>
      <c r="AE154" s="30">
        <v>1721</v>
      </c>
      <c r="AF154" s="30"/>
      <c r="AG154" s="30">
        <v>974325</v>
      </c>
      <c r="AH154" s="30">
        <v>2709505.288</v>
      </c>
      <c r="AI154" s="30">
        <v>2769721.157</v>
      </c>
      <c r="AJ154" s="30">
        <v>951348.117</v>
      </c>
      <c r="AK154" s="30">
        <v>293468</v>
      </c>
      <c r="AL154" s="30">
        <v>37939</v>
      </c>
      <c r="AM154" s="30">
        <v>0</v>
      </c>
      <c r="AN154" s="30">
        <v>507187</v>
      </c>
      <c r="AO154" s="30">
        <v>1815132</v>
      </c>
      <c r="AP154" s="30">
        <v>1091815</v>
      </c>
      <c r="AQ154" s="30">
        <v>0</v>
      </c>
      <c r="AR154" s="30">
        <v>2421.8</v>
      </c>
      <c r="AS154" s="30">
        <v>989866</v>
      </c>
      <c r="AT154" s="30"/>
      <c r="AU154" s="42">
        <f t="shared" si="31"/>
        <v>40607696.19</v>
      </c>
      <c r="AV154" s="29"/>
      <c r="AW154" s="29"/>
      <c r="AX154" s="29"/>
      <c r="AY154" s="29"/>
      <c r="AZ154" s="30"/>
    </row>
    <row r="155" spans="1:52" ht="12.75" hidden="1">
      <c r="A155" s="247" t="s">
        <v>428</v>
      </c>
      <c r="B155" s="30">
        <v>93320.532</v>
      </c>
      <c r="C155" s="30">
        <v>8814.339</v>
      </c>
      <c r="D155" s="30">
        <v>0</v>
      </c>
      <c r="E155" s="30"/>
      <c r="F155" s="30">
        <v>35999.441</v>
      </c>
      <c r="G155" s="30">
        <v>79427.333</v>
      </c>
      <c r="H155" s="30"/>
      <c r="I155" s="30"/>
      <c r="J155" s="30"/>
      <c r="K155" s="30"/>
      <c r="L155" s="30"/>
      <c r="M155" s="30">
        <v>274474</v>
      </c>
      <c r="N155" s="30">
        <v>567819</v>
      </c>
      <c r="O155" s="30">
        <v>0</v>
      </c>
      <c r="P155" s="30">
        <v>2133151</v>
      </c>
      <c r="Q155" s="30">
        <v>160019</v>
      </c>
      <c r="R155" s="30">
        <v>0</v>
      </c>
      <c r="S155" s="30">
        <v>9302</v>
      </c>
      <c r="T155" s="30">
        <v>79560</v>
      </c>
      <c r="U155" s="132"/>
      <c r="V155" s="30">
        <v>0</v>
      </c>
      <c r="W155" s="30">
        <v>27674</v>
      </c>
      <c r="X155" s="29">
        <v>139236.827</v>
      </c>
      <c r="Y155" s="29">
        <v>169398.748</v>
      </c>
      <c r="Z155" s="29">
        <v>23017.605</v>
      </c>
      <c r="AA155" s="29">
        <v>0</v>
      </c>
      <c r="AB155" s="30">
        <v>106665.283</v>
      </c>
      <c r="AC155" s="30">
        <v>4162.1</v>
      </c>
      <c r="AD155" s="30">
        <v>7235.1</v>
      </c>
      <c r="AE155" s="30">
        <v>8967</v>
      </c>
      <c r="AF155" s="30"/>
      <c r="AG155" s="30">
        <v>31800</v>
      </c>
      <c r="AH155" s="30">
        <v>0</v>
      </c>
      <c r="AI155" s="30">
        <v>0</v>
      </c>
      <c r="AJ155" s="30">
        <v>0</v>
      </c>
      <c r="AK155" s="30">
        <v>11202</v>
      </c>
      <c r="AL155" s="30">
        <v>0</v>
      </c>
      <c r="AM155" s="30">
        <v>0</v>
      </c>
      <c r="AN155" s="30">
        <v>30046</v>
      </c>
      <c r="AO155" s="30">
        <v>115290</v>
      </c>
      <c r="AP155" s="30">
        <v>69331</v>
      </c>
      <c r="AQ155" s="30">
        <v>0</v>
      </c>
      <c r="AR155" s="30">
        <v>0</v>
      </c>
      <c r="AS155" s="30">
        <v>0</v>
      </c>
      <c r="AT155" s="30"/>
      <c r="AU155" s="42">
        <f t="shared" si="31"/>
        <v>4185912.308</v>
      </c>
      <c r="AV155" s="29"/>
      <c r="AW155" s="29"/>
      <c r="AX155" s="29"/>
      <c r="AY155" s="29"/>
      <c r="AZ155" s="30"/>
    </row>
    <row r="156" spans="1:52" ht="12.75" hidden="1">
      <c r="A156" s="49" t="s">
        <v>429</v>
      </c>
      <c r="B156" s="30">
        <v>0</v>
      </c>
      <c r="C156" s="30">
        <v>0</v>
      </c>
      <c r="D156" s="30">
        <v>79354.2</v>
      </c>
      <c r="E156" s="30"/>
      <c r="F156" s="30"/>
      <c r="G156" s="30"/>
      <c r="H156" s="30"/>
      <c r="I156" s="30"/>
      <c r="J156" s="30"/>
      <c r="K156" s="30"/>
      <c r="L156" s="30"/>
      <c r="M156" s="30">
        <v>0</v>
      </c>
      <c r="N156" s="30">
        <v>0</v>
      </c>
      <c r="O156" s="30">
        <v>0</v>
      </c>
      <c r="P156" s="30">
        <v>2412</v>
      </c>
      <c r="Q156" s="30">
        <v>0</v>
      </c>
      <c r="R156" s="30">
        <v>0</v>
      </c>
      <c r="S156" s="30">
        <v>0</v>
      </c>
      <c r="T156" s="30">
        <v>0</v>
      </c>
      <c r="U156" s="132"/>
      <c r="V156" s="30">
        <v>0</v>
      </c>
      <c r="W156" s="30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30">
        <v>0</v>
      </c>
      <c r="AF156" s="30"/>
      <c r="AG156" s="30">
        <v>85233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7424</v>
      </c>
      <c r="AT156" s="30"/>
      <c r="AU156" s="42">
        <f t="shared" si="31"/>
        <v>174423.2</v>
      </c>
      <c r="AV156" s="29"/>
      <c r="AW156" s="29"/>
      <c r="AX156" s="29"/>
      <c r="AY156" s="29"/>
      <c r="AZ156" s="30"/>
    </row>
    <row r="157" spans="1:52" ht="12.75" hidden="1">
      <c r="A157" s="247" t="s">
        <v>430</v>
      </c>
      <c r="B157" s="30">
        <v>0</v>
      </c>
      <c r="C157" s="30">
        <v>0</v>
      </c>
      <c r="D157" s="30">
        <v>0</v>
      </c>
      <c r="E157" s="30"/>
      <c r="F157" s="30">
        <v>0</v>
      </c>
      <c r="G157" s="30">
        <v>0</v>
      </c>
      <c r="H157" s="30">
        <v>0</v>
      </c>
      <c r="I157" s="30">
        <v>0</v>
      </c>
      <c r="J157" s="30">
        <v>5165</v>
      </c>
      <c r="K157" s="30"/>
      <c r="L157" s="30"/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1274594</v>
      </c>
      <c r="S157" s="30">
        <v>0</v>
      </c>
      <c r="T157" s="30">
        <v>0</v>
      </c>
      <c r="U157" s="132"/>
      <c r="V157" s="30">
        <v>0</v>
      </c>
      <c r="W157" s="30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30">
        <v>0</v>
      </c>
      <c r="AF157" s="30"/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60790</v>
      </c>
      <c r="AR157" s="30">
        <v>0</v>
      </c>
      <c r="AS157" s="30">
        <v>0</v>
      </c>
      <c r="AT157" s="30"/>
      <c r="AU157" s="42">
        <f t="shared" si="31"/>
        <v>1340549</v>
      </c>
      <c r="AV157" s="29"/>
      <c r="AW157" s="29"/>
      <c r="AX157" s="29"/>
      <c r="AY157" s="29"/>
      <c r="AZ157" s="30"/>
    </row>
    <row r="158" spans="1:52" ht="12.75" hidden="1">
      <c r="A158" s="247" t="s">
        <v>431</v>
      </c>
      <c r="B158" s="30">
        <v>0</v>
      </c>
      <c r="C158" s="30">
        <v>0</v>
      </c>
      <c r="D158" s="30">
        <v>0</v>
      </c>
      <c r="E158" s="30"/>
      <c r="F158" s="30">
        <v>0</v>
      </c>
      <c r="G158" s="30">
        <v>0</v>
      </c>
      <c r="H158" s="30">
        <v>0</v>
      </c>
      <c r="I158" s="30">
        <v>0</v>
      </c>
      <c r="J158" s="30"/>
      <c r="K158" s="30"/>
      <c r="L158" s="30"/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132"/>
      <c r="V158" s="30">
        <v>0</v>
      </c>
      <c r="W158" s="30">
        <v>0</v>
      </c>
      <c r="X158" s="42">
        <v>0</v>
      </c>
      <c r="Y158" s="42">
        <v>0</v>
      </c>
      <c r="Z158" s="42">
        <v>0</v>
      </c>
      <c r="AA158" s="29">
        <v>148015.137</v>
      </c>
      <c r="AB158" s="29">
        <v>0</v>
      </c>
      <c r="AC158" s="29">
        <v>0</v>
      </c>
      <c r="AD158" s="29">
        <v>0</v>
      </c>
      <c r="AE158" s="30">
        <v>0</v>
      </c>
      <c r="AF158" s="30"/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  <c r="AT158" s="30"/>
      <c r="AU158" s="42">
        <f t="shared" si="31"/>
        <v>148015.137</v>
      </c>
      <c r="AV158" s="29"/>
      <c r="AW158" s="29"/>
      <c r="AX158" s="29"/>
      <c r="AY158" s="29"/>
      <c r="AZ158" s="30"/>
    </row>
    <row r="159" spans="1:52" ht="12.75" hidden="1">
      <c r="A159" s="247" t="s">
        <v>432</v>
      </c>
      <c r="B159" s="30">
        <v>0</v>
      </c>
      <c r="C159" s="30">
        <v>0</v>
      </c>
      <c r="D159" s="30">
        <v>0</v>
      </c>
      <c r="E159" s="30"/>
      <c r="F159" s="30">
        <v>0</v>
      </c>
      <c r="G159" s="30">
        <v>0</v>
      </c>
      <c r="H159" s="30">
        <v>0</v>
      </c>
      <c r="I159" s="30">
        <v>0</v>
      </c>
      <c r="J159" s="30"/>
      <c r="K159" s="30"/>
      <c r="L159" s="30"/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132"/>
      <c r="V159" s="30">
        <v>0</v>
      </c>
      <c r="W159" s="30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30">
        <v>0</v>
      </c>
      <c r="AF159" s="30"/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/>
      <c r="AU159" s="42">
        <f t="shared" si="31"/>
        <v>0</v>
      </c>
      <c r="AV159" s="29"/>
      <c r="AW159" s="29"/>
      <c r="AX159" s="29"/>
      <c r="AY159" s="29"/>
      <c r="AZ159" s="30"/>
    </row>
    <row r="160" spans="1:52" ht="12.75" hidden="1">
      <c r="A160" s="248" t="s">
        <v>433</v>
      </c>
      <c r="B160" s="30">
        <v>0</v>
      </c>
      <c r="C160" s="30">
        <v>0</v>
      </c>
      <c r="D160" s="30">
        <v>0</v>
      </c>
      <c r="E160" s="30"/>
      <c r="F160" s="30">
        <v>0</v>
      </c>
      <c r="G160" s="30">
        <v>0</v>
      </c>
      <c r="H160" s="30">
        <v>0</v>
      </c>
      <c r="I160" s="30">
        <v>0</v>
      </c>
      <c r="J160" s="30"/>
      <c r="K160" s="30"/>
      <c r="L160" s="30"/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132"/>
      <c r="V160" s="30">
        <v>0</v>
      </c>
      <c r="W160" s="30">
        <v>0</v>
      </c>
      <c r="X160" s="42">
        <v>0</v>
      </c>
      <c r="Y160" s="42">
        <v>0</v>
      </c>
      <c r="Z160" s="42">
        <v>0</v>
      </c>
      <c r="AA160" s="42">
        <v>0</v>
      </c>
      <c r="AB160" s="29">
        <v>0</v>
      </c>
      <c r="AC160" s="29">
        <v>0</v>
      </c>
      <c r="AD160" s="29">
        <v>0</v>
      </c>
      <c r="AE160" s="30">
        <v>0</v>
      </c>
      <c r="AF160" s="30"/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/>
      <c r="AU160" s="42">
        <f t="shared" si="31"/>
        <v>0</v>
      </c>
      <c r="AV160" s="29"/>
      <c r="AW160" s="29"/>
      <c r="AX160" s="29"/>
      <c r="AY160" s="29"/>
      <c r="AZ160" s="30"/>
    </row>
    <row r="161" spans="1:52" ht="12.75">
      <c r="A161" s="119" t="s">
        <v>434</v>
      </c>
      <c r="B161" s="30">
        <f>SUM(B154:B160)</f>
        <v>1945113.2429999998</v>
      </c>
      <c r="C161" s="30">
        <f>SUM(C154:C160)</f>
        <v>333225.418</v>
      </c>
      <c r="D161" s="30">
        <f>SUM(D154:D160)</f>
        <v>79354.2</v>
      </c>
      <c r="E161" s="30">
        <f>+E151</f>
        <v>444182</v>
      </c>
      <c r="F161" s="30">
        <f aca="true" t="shared" si="38" ref="F161:AS161">SUM(F154:F160)</f>
        <v>65584.215</v>
      </c>
      <c r="G161" s="30">
        <f t="shared" si="38"/>
        <v>101444.025</v>
      </c>
      <c r="H161" s="30">
        <f t="shared" si="38"/>
        <v>96048</v>
      </c>
      <c r="I161" s="30">
        <f t="shared" si="38"/>
        <v>6204</v>
      </c>
      <c r="J161" s="30">
        <f t="shared" si="38"/>
        <v>5165</v>
      </c>
      <c r="K161" s="30">
        <f t="shared" si="38"/>
        <v>0</v>
      </c>
      <c r="L161" s="30">
        <f t="shared" si="38"/>
        <v>0</v>
      </c>
      <c r="M161" s="30">
        <f t="shared" si="38"/>
        <v>339357</v>
      </c>
      <c r="N161" s="30">
        <f t="shared" si="38"/>
        <v>776857</v>
      </c>
      <c r="O161" s="30">
        <f t="shared" si="38"/>
        <v>29138</v>
      </c>
      <c r="P161" s="30">
        <f t="shared" si="38"/>
        <v>22926938</v>
      </c>
      <c r="Q161" s="30">
        <f t="shared" si="38"/>
        <v>1290414</v>
      </c>
      <c r="R161" s="30">
        <f t="shared" si="38"/>
        <v>1274594</v>
      </c>
      <c r="S161" s="30">
        <f t="shared" si="38"/>
        <v>14310</v>
      </c>
      <c r="T161" s="30">
        <f t="shared" si="38"/>
        <v>79560</v>
      </c>
      <c r="U161" s="30">
        <f t="shared" si="38"/>
        <v>0</v>
      </c>
      <c r="V161" s="30">
        <f t="shared" si="38"/>
        <v>11842.627</v>
      </c>
      <c r="W161" s="30">
        <f t="shared" si="38"/>
        <v>44790</v>
      </c>
      <c r="X161" s="30">
        <f t="shared" si="38"/>
        <v>1559600.7920000001</v>
      </c>
      <c r="Y161" s="30">
        <f t="shared" si="38"/>
        <v>2214656.835</v>
      </c>
      <c r="Z161" s="30">
        <f t="shared" si="38"/>
        <v>321007.898</v>
      </c>
      <c r="AA161" s="30">
        <f t="shared" si="38"/>
        <v>148015.137</v>
      </c>
      <c r="AB161" s="30">
        <f t="shared" si="38"/>
        <v>211974.383</v>
      </c>
      <c r="AC161" s="30">
        <f t="shared" si="38"/>
        <v>5362.200000000001</v>
      </c>
      <c r="AD161" s="30">
        <f t="shared" si="38"/>
        <v>11507.5</v>
      </c>
      <c r="AE161" s="30">
        <f t="shared" si="38"/>
        <v>10688</v>
      </c>
      <c r="AF161" s="30">
        <f t="shared" si="38"/>
        <v>0</v>
      </c>
      <c r="AG161" s="30">
        <f t="shared" si="38"/>
        <v>1091358</v>
      </c>
      <c r="AH161" s="30">
        <f t="shared" si="38"/>
        <v>2709505.288</v>
      </c>
      <c r="AI161" s="30">
        <f t="shared" si="38"/>
        <v>2769721.157</v>
      </c>
      <c r="AJ161" s="30">
        <f t="shared" si="38"/>
        <v>951348.117</v>
      </c>
      <c r="AK161" s="30">
        <f t="shared" si="38"/>
        <v>304670</v>
      </c>
      <c r="AL161" s="30">
        <f t="shared" si="38"/>
        <v>37939</v>
      </c>
      <c r="AM161" s="30">
        <f t="shared" si="38"/>
        <v>0</v>
      </c>
      <c r="AN161" s="30">
        <f t="shared" si="38"/>
        <v>537233</v>
      </c>
      <c r="AO161" s="30">
        <f t="shared" si="38"/>
        <v>1930422</v>
      </c>
      <c r="AP161" s="30">
        <f t="shared" si="38"/>
        <v>1161146</v>
      </c>
      <c r="AQ161" s="30">
        <f t="shared" si="38"/>
        <v>60790</v>
      </c>
      <c r="AR161" s="30">
        <f t="shared" si="38"/>
        <v>2421.8</v>
      </c>
      <c r="AS161" s="30">
        <f t="shared" si="38"/>
        <v>997290</v>
      </c>
      <c r="AT161" s="29"/>
      <c r="AU161" s="42">
        <f t="shared" si="31"/>
        <v>46900777.835</v>
      </c>
      <c r="AV161" s="29"/>
      <c r="AW161" s="29"/>
      <c r="AX161" s="29"/>
      <c r="AY161" s="29"/>
      <c r="AZ161" s="30"/>
    </row>
    <row r="162" spans="1:52" ht="12.75" hidden="1">
      <c r="A162" s="247"/>
      <c r="B162" s="30"/>
      <c r="C162" s="30"/>
      <c r="D162" s="30"/>
      <c r="U162" s="33"/>
      <c r="X162" s="42">
        <v>0</v>
      </c>
      <c r="Y162" s="42">
        <v>0</v>
      </c>
      <c r="Z162" s="42">
        <v>0</v>
      </c>
      <c r="AA162" s="42">
        <v>0</v>
      </c>
      <c r="AV162" s="29"/>
      <c r="AW162" s="29"/>
      <c r="AX162" s="29"/>
      <c r="AY162" s="29"/>
      <c r="AZ162" s="30"/>
    </row>
    <row r="163" spans="1:52" ht="12.75">
      <c r="A163" s="259" t="s">
        <v>435</v>
      </c>
      <c r="B163" s="30">
        <f aca="true" t="shared" si="39" ref="B163:AA163">+B151-B161</f>
        <v>19163.95600000024</v>
      </c>
      <c r="C163" s="30">
        <f t="shared" si="39"/>
        <v>4257.08600000001</v>
      </c>
      <c r="D163" s="30">
        <f t="shared" si="39"/>
        <v>0.08900000000721775</v>
      </c>
      <c r="E163" s="30">
        <f t="shared" si="39"/>
        <v>0</v>
      </c>
      <c r="F163" s="30">
        <f t="shared" si="39"/>
        <v>-574.7989999999918</v>
      </c>
      <c r="G163" s="30">
        <f t="shared" si="39"/>
        <v>-613.695000000007</v>
      </c>
      <c r="H163" s="30">
        <f t="shared" si="39"/>
        <v>2630</v>
      </c>
      <c r="I163" s="30">
        <f t="shared" si="39"/>
        <v>529</v>
      </c>
      <c r="J163" s="30">
        <f t="shared" si="39"/>
        <v>754</v>
      </c>
      <c r="K163" s="30">
        <f t="shared" si="39"/>
        <v>0</v>
      </c>
      <c r="L163" s="30">
        <f t="shared" si="39"/>
        <v>0</v>
      </c>
      <c r="M163" s="30">
        <f t="shared" si="39"/>
        <v>0</v>
      </c>
      <c r="N163" s="30">
        <f t="shared" si="39"/>
        <v>0</v>
      </c>
      <c r="O163" s="30">
        <f t="shared" si="39"/>
        <v>0</v>
      </c>
      <c r="P163" s="30">
        <f t="shared" si="39"/>
        <v>-256295</v>
      </c>
      <c r="Q163" s="30">
        <f t="shared" si="39"/>
        <v>49820</v>
      </c>
      <c r="R163" s="30">
        <f t="shared" si="39"/>
        <v>64000</v>
      </c>
      <c r="S163" s="30">
        <f t="shared" si="39"/>
        <v>0</v>
      </c>
      <c r="T163" s="30">
        <f t="shared" si="39"/>
        <v>0</v>
      </c>
      <c r="U163" s="30">
        <f t="shared" si="39"/>
        <v>0</v>
      </c>
      <c r="V163" s="30">
        <f t="shared" si="39"/>
        <v>12.386000000000422</v>
      </c>
      <c r="W163" s="30">
        <f t="shared" si="39"/>
        <v>3</v>
      </c>
      <c r="X163" s="30">
        <f t="shared" si="39"/>
        <v>16450.837000000058</v>
      </c>
      <c r="Y163" s="30">
        <f t="shared" si="39"/>
        <v>19856.930999999866</v>
      </c>
      <c r="Z163" s="30">
        <f t="shared" si="39"/>
        <v>-6.921000000031199</v>
      </c>
      <c r="AA163" s="30">
        <f t="shared" si="39"/>
        <v>1533.9910000000382</v>
      </c>
      <c r="AB163" s="30">
        <f aca="true" t="shared" si="40" ref="AB163:AS163">+AB151-AB161</f>
        <v>0</v>
      </c>
      <c r="AC163" s="30">
        <f t="shared" si="40"/>
        <v>0</v>
      </c>
      <c r="AD163" s="30">
        <f t="shared" si="40"/>
        <v>0</v>
      </c>
      <c r="AE163" s="30">
        <f t="shared" si="40"/>
        <v>2790</v>
      </c>
      <c r="AF163" s="30">
        <f t="shared" si="40"/>
        <v>0</v>
      </c>
      <c r="AG163" s="30">
        <f t="shared" si="40"/>
        <v>41749</v>
      </c>
      <c r="AH163" s="30">
        <f t="shared" si="40"/>
        <v>5013.907999999821</v>
      </c>
      <c r="AI163" s="30">
        <f t="shared" si="40"/>
        <v>441.52699999976903</v>
      </c>
      <c r="AJ163" s="30">
        <f t="shared" si="40"/>
        <v>488.69900000013877</v>
      </c>
      <c r="AK163" s="30">
        <f t="shared" si="40"/>
        <v>4254</v>
      </c>
      <c r="AL163" s="30">
        <f t="shared" si="40"/>
        <v>503</v>
      </c>
      <c r="AM163" s="30">
        <f t="shared" si="40"/>
        <v>11940</v>
      </c>
      <c r="AN163" s="30">
        <f t="shared" si="40"/>
        <v>-9060</v>
      </c>
      <c r="AO163" s="30">
        <f t="shared" si="40"/>
        <v>31023</v>
      </c>
      <c r="AP163" s="30">
        <f t="shared" si="40"/>
        <v>77080</v>
      </c>
      <c r="AQ163" s="30">
        <f t="shared" si="40"/>
        <v>90</v>
      </c>
      <c r="AR163" s="30">
        <f t="shared" si="40"/>
        <v>0.09999999999990905</v>
      </c>
      <c r="AS163" s="30">
        <f t="shared" si="40"/>
        <v>-2055</v>
      </c>
      <c r="AT163" s="29"/>
      <c r="AU163" s="42">
        <f t="shared" si="31"/>
        <v>85779.09499999991</v>
      </c>
      <c r="AV163" s="29"/>
      <c r="AW163" s="29"/>
      <c r="AX163" s="29"/>
      <c r="AY163" s="29"/>
      <c r="AZ163" s="30"/>
    </row>
    <row r="164" spans="1:52" ht="12.75" hidden="1">
      <c r="A164" s="247"/>
      <c r="B164" s="30"/>
      <c r="C164" s="30"/>
      <c r="D164" s="30"/>
      <c r="U164" s="33"/>
      <c r="AV164" s="29"/>
      <c r="AW164" s="29"/>
      <c r="AX164" s="29"/>
      <c r="AY164" s="29"/>
      <c r="AZ164" s="30"/>
    </row>
    <row r="165" spans="1:52" ht="12.75">
      <c r="A165" s="259" t="s">
        <v>436</v>
      </c>
      <c r="B165" s="30">
        <v>23138.489</v>
      </c>
      <c r="C165" s="30">
        <v>0</v>
      </c>
      <c r="D165" s="30">
        <v>0</v>
      </c>
      <c r="E165" s="29">
        <v>0</v>
      </c>
      <c r="F165" s="29">
        <v>2178.317</v>
      </c>
      <c r="G165" s="29">
        <v>1085.852</v>
      </c>
      <c r="H165" s="29">
        <v>2279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421630</v>
      </c>
      <c r="Q165" s="29">
        <v>-12942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16197.651</v>
      </c>
      <c r="Y165" s="29">
        <v>52145.58</v>
      </c>
      <c r="Z165" s="29">
        <v>3944.878</v>
      </c>
      <c r="AA165" s="29">
        <v>0</v>
      </c>
      <c r="AB165" s="29">
        <v>0</v>
      </c>
      <c r="AC165" s="29">
        <v>0</v>
      </c>
      <c r="AD165" s="29">
        <v>0</v>
      </c>
      <c r="AE165" s="29">
        <v>167</v>
      </c>
      <c r="AF165" s="29"/>
      <c r="AG165" s="29">
        <v>15929</v>
      </c>
      <c r="AH165" s="29">
        <v>7669.136</v>
      </c>
      <c r="AI165" s="29">
        <v>220.951</v>
      </c>
      <c r="AJ165" s="29">
        <v>57.808</v>
      </c>
      <c r="AK165" s="29">
        <v>662</v>
      </c>
      <c r="AL165" s="29">
        <v>0</v>
      </c>
      <c r="AM165" s="29">
        <v>0</v>
      </c>
      <c r="AN165" s="29">
        <v>23613</v>
      </c>
      <c r="AO165" s="29">
        <v>44427</v>
      </c>
      <c r="AP165" s="29">
        <v>25472</v>
      </c>
      <c r="AQ165" s="29">
        <v>0</v>
      </c>
      <c r="AR165" s="29">
        <v>0</v>
      </c>
      <c r="AS165" s="29">
        <v>6579</v>
      </c>
      <c r="AT165" s="29"/>
      <c r="AU165" s="42">
        <f t="shared" si="31"/>
        <v>634454.662</v>
      </c>
      <c r="AV165" s="29"/>
      <c r="AW165" s="29"/>
      <c r="AX165" s="29"/>
      <c r="AY165" s="29"/>
      <c r="AZ165" s="30"/>
    </row>
    <row r="166" spans="1:52" ht="12.75">
      <c r="A166" s="247"/>
      <c r="B166" s="30"/>
      <c r="C166" s="30"/>
      <c r="D166" s="30"/>
      <c r="U166" s="33"/>
      <c r="AV166" s="29"/>
      <c r="AW166" s="29"/>
      <c r="AX166" s="29"/>
      <c r="AY166" s="29"/>
      <c r="AZ166" s="30"/>
    </row>
    <row r="167" spans="1:52" s="105" customFormat="1" ht="13.5">
      <c r="A167" s="262" t="s">
        <v>437</v>
      </c>
      <c r="B167" s="148">
        <f aca="true" t="shared" si="41" ref="B167:AA167">+B163+B165</f>
        <v>42302.44500000024</v>
      </c>
      <c r="C167" s="148">
        <f t="shared" si="41"/>
        <v>4257.08600000001</v>
      </c>
      <c r="D167" s="148">
        <f t="shared" si="41"/>
        <v>0.08900000000721775</v>
      </c>
      <c r="E167" s="148">
        <f t="shared" si="41"/>
        <v>0</v>
      </c>
      <c r="F167" s="148">
        <f t="shared" si="41"/>
        <v>1603.5180000000082</v>
      </c>
      <c r="G167" s="148">
        <f t="shared" si="41"/>
        <v>472.1569999999931</v>
      </c>
      <c r="H167" s="148">
        <f t="shared" si="41"/>
        <v>4909</v>
      </c>
      <c r="I167" s="148">
        <f t="shared" si="41"/>
        <v>529</v>
      </c>
      <c r="J167" s="148">
        <f t="shared" si="41"/>
        <v>754</v>
      </c>
      <c r="K167" s="148">
        <f t="shared" si="41"/>
        <v>0</v>
      </c>
      <c r="L167" s="148">
        <f t="shared" si="41"/>
        <v>0</v>
      </c>
      <c r="M167" s="148">
        <f t="shared" si="41"/>
        <v>0</v>
      </c>
      <c r="N167" s="148">
        <f t="shared" si="41"/>
        <v>0</v>
      </c>
      <c r="O167" s="148">
        <f t="shared" si="41"/>
        <v>0</v>
      </c>
      <c r="P167" s="148">
        <f t="shared" si="41"/>
        <v>165335</v>
      </c>
      <c r="Q167" s="148">
        <f t="shared" si="41"/>
        <v>36878</v>
      </c>
      <c r="R167" s="148">
        <f t="shared" si="41"/>
        <v>64000</v>
      </c>
      <c r="S167" s="148">
        <f t="shared" si="41"/>
        <v>0</v>
      </c>
      <c r="T167" s="148">
        <f t="shared" si="41"/>
        <v>0</v>
      </c>
      <c r="U167" s="148">
        <f t="shared" si="41"/>
        <v>0</v>
      </c>
      <c r="V167" s="148">
        <f t="shared" si="41"/>
        <v>12.386000000000422</v>
      </c>
      <c r="W167" s="148">
        <f t="shared" si="41"/>
        <v>3</v>
      </c>
      <c r="X167" s="148">
        <f t="shared" si="41"/>
        <v>32648.488000000056</v>
      </c>
      <c r="Y167" s="148">
        <f t="shared" si="41"/>
        <v>72002.51099999987</v>
      </c>
      <c r="Z167" s="148">
        <f t="shared" si="41"/>
        <v>3937.956999999969</v>
      </c>
      <c r="AA167" s="148">
        <f t="shared" si="41"/>
        <v>1533.9910000000382</v>
      </c>
      <c r="AB167" s="148">
        <f aca="true" t="shared" si="42" ref="AB167:AS167">+AB163+AB165</f>
        <v>0</v>
      </c>
      <c r="AC167" s="148">
        <f t="shared" si="42"/>
        <v>0</v>
      </c>
      <c r="AD167" s="148">
        <f t="shared" si="42"/>
        <v>0</v>
      </c>
      <c r="AE167" s="148">
        <f t="shared" si="42"/>
        <v>2957</v>
      </c>
      <c r="AF167" s="148">
        <f t="shared" si="42"/>
        <v>0</v>
      </c>
      <c r="AG167" s="148">
        <f t="shared" si="42"/>
        <v>57678</v>
      </c>
      <c r="AH167" s="148">
        <f t="shared" si="42"/>
        <v>12683.043999999822</v>
      </c>
      <c r="AI167" s="148">
        <f t="shared" si="42"/>
        <v>662.477999999769</v>
      </c>
      <c r="AJ167" s="148">
        <f t="shared" si="42"/>
        <v>546.5070000001388</v>
      </c>
      <c r="AK167" s="148">
        <f t="shared" si="42"/>
        <v>4916</v>
      </c>
      <c r="AL167" s="148">
        <f t="shared" si="42"/>
        <v>503</v>
      </c>
      <c r="AM167" s="148">
        <f t="shared" si="42"/>
        <v>11940</v>
      </c>
      <c r="AN167" s="148">
        <f t="shared" si="42"/>
        <v>14553</v>
      </c>
      <c r="AO167" s="148">
        <f t="shared" si="42"/>
        <v>75450</v>
      </c>
      <c r="AP167" s="148">
        <f t="shared" si="42"/>
        <v>102552</v>
      </c>
      <c r="AQ167" s="148">
        <f t="shared" si="42"/>
        <v>90</v>
      </c>
      <c r="AR167" s="148">
        <f t="shared" si="42"/>
        <v>0.09999999999990905</v>
      </c>
      <c r="AS167" s="148">
        <f t="shared" si="42"/>
        <v>4524</v>
      </c>
      <c r="AT167" s="36"/>
      <c r="AU167" s="105">
        <f t="shared" si="31"/>
        <v>720233.757</v>
      </c>
      <c r="AV167" s="36"/>
      <c r="AW167" s="36"/>
      <c r="AX167" s="36"/>
      <c r="AY167" s="36"/>
      <c r="AZ167" s="148"/>
    </row>
    <row r="173" spans="1:90" s="166" customFormat="1" ht="12.75">
      <c r="A173" s="42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</row>
    <row r="176" spans="4:43" ht="12.75">
      <c r="D176" s="110"/>
      <c r="AE176" s="110"/>
      <c r="AG176" s="110"/>
      <c r="AP176" s="110"/>
      <c r="AQ176" s="110"/>
    </row>
  </sheetData>
  <mergeCells count="43">
    <mergeCell ref="B1:D1"/>
    <mergeCell ref="B2:D2"/>
    <mergeCell ref="B4:D4"/>
    <mergeCell ref="F1:G1"/>
    <mergeCell ref="F2:G2"/>
    <mergeCell ref="F4:G4"/>
    <mergeCell ref="H1:J1"/>
    <mergeCell ref="H2:J2"/>
    <mergeCell ref="H4:J4"/>
    <mergeCell ref="K1:L1"/>
    <mergeCell ref="K2:L2"/>
    <mergeCell ref="K4:L4"/>
    <mergeCell ref="M1:N1"/>
    <mergeCell ref="M2:N2"/>
    <mergeCell ref="M4:N4"/>
    <mergeCell ref="P1:R1"/>
    <mergeCell ref="P2:R2"/>
    <mergeCell ref="P3:R3"/>
    <mergeCell ref="P4:R4"/>
    <mergeCell ref="S1:T1"/>
    <mergeCell ref="S2:T2"/>
    <mergeCell ref="S3:T3"/>
    <mergeCell ref="S4:T4"/>
    <mergeCell ref="X1:AA1"/>
    <mergeCell ref="X2:AA2"/>
    <mergeCell ref="X3:AA3"/>
    <mergeCell ref="X4:AA4"/>
    <mergeCell ref="AC1:AD1"/>
    <mergeCell ref="AC2:AD2"/>
    <mergeCell ref="AC3:AD3"/>
    <mergeCell ref="AC4:AD4"/>
    <mergeCell ref="AH1:AJ1"/>
    <mergeCell ref="AH2:AJ2"/>
    <mergeCell ref="AH3:AJ3"/>
    <mergeCell ref="AH4:AJ4"/>
    <mergeCell ref="AK1:AM1"/>
    <mergeCell ref="AK2:AM2"/>
    <mergeCell ref="AK3:AM3"/>
    <mergeCell ref="AK4:AM4"/>
    <mergeCell ref="AN1:AQ1"/>
    <mergeCell ref="AN2:AQ2"/>
    <mergeCell ref="AN3:AQ3"/>
    <mergeCell ref="AN4:AQ4"/>
  </mergeCells>
  <printOptions/>
  <pageMargins left="0.35433070866141736" right="0.2755905511811024" top="0.984251968503937" bottom="0" header="0.2362204724409449" footer="0.11811023622047245"/>
  <pageSetup firstPageNumber="61" useFirstPageNumber="1" horizontalDpi="600" verticalDpi="600" orientation="portrait" paperSize="9" scale="96" r:id="rId1"/>
  <headerFooter alignWithMargins="0">
    <oddHeader>&amp;C&amp;"Times New Roman,Bold"&amp;14 5.1. PERSONAL PENSION SHCEMES
CHANGES, BALANCE SHEETS AND CASH FLOW 2002</oddHeader>
    <oddFooter>&amp;R&amp;"Times New Roman,Regular"&amp;P</oddFooter>
  </headerFooter>
  <colBreaks count="2" manualBreakCount="2">
    <brk id="27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Ómarsdóttir</dc:creator>
  <cp:keywords/>
  <dc:description/>
  <cp:lastModifiedBy>Sigríður Ómarsdóttir</cp:lastModifiedBy>
  <cp:lastPrinted>2004-02-18T10:04:31Z</cp:lastPrinted>
  <dcterms:created xsi:type="dcterms:W3CDTF">2001-12-27T12:25:25Z</dcterms:created>
  <dcterms:modified xsi:type="dcterms:W3CDTF">2004-02-18T10:05:09Z</dcterms:modified>
  <cp:category/>
  <cp:version/>
  <cp:contentType/>
  <cp:contentStatus/>
</cp:coreProperties>
</file>